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Benin FOT/New format/"/>
    </mc:Choice>
  </mc:AlternateContent>
  <xr:revisionPtr revIDLastSave="0" documentId="8_{D5EE262A-2DFE-4E77-8A02-872CEB4382B7}" xr6:coauthVersionLast="47" xr6:coauthVersionMax="47" xr10:uidLastSave="{00000000-0000-0000-0000-000000000000}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Optimization'!$O$32:$S$40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Optimization'!$O$32:$S$40</definedName>
    <definedName name="solver_lhs10" localSheetId="1" hidden="1">'Fertilizer Optimization'!$O$32:$R$38</definedName>
    <definedName name="solver_lhs11" localSheetId="1" hidden="1">'Fertilizer Optimization'!$T$101:$V$101</definedName>
    <definedName name="solver_lhs12" localSheetId="1" hidden="1">'Fertilizer Optimization'!$T$54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Optimization'!$T$101:$V$101</definedName>
    <definedName name="solver_lhs16" localSheetId="1" hidden="1">'Fertilizer Optimization'!$T$54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Optimization'!$T$101:$V$101</definedName>
    <definedName name="solver_lhs2" localSheetId="1" hidden="1">'Fertilizer Optimization'!$O$32:$S$40</definedName>
    <definedName name="solver_lhs20" localSheetId="1" hidden="1">'Fertilizer Optimization'!$T$54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Optimization'!$AC$32:$AF$40</definedName>
    <definedName name="solver_lhs4" localSheetId="1" hidden="1">'Fertilizer Optimization'!$T$57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Optimization'!$T$91:$V$91</definedName>
    <definedName name="solver_lhs8" localSheetId="1" hidden="1">'Fertilizer Optimization'!$U$52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Optimization'!$V$110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Optimization'!$O$18:$S$26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Optimization'!$U$48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Optimization'!$U$48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Optimization'!$T$18:$X$26</definedName>
    <definedName name="solver_rhs20" localSheetId="1" hidden="1">'Fertilizer Optimization'!$U$48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Optimization'!$Y$18:$AB$26</definedName>
    <definedName name="solver_rhs4" localSheetId="1" hidden="1">'Fertilizer Optimization'!$U$57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2" l="1"/>
  <c r="O97" i="2" l="1"/>
  <c r="O96" i="2"/>
  <c r="T8" i="2" l="1"/>
  <c r="U26" i="2"/>
  <c r="U25" i="2"/>
  <c r="U24" i="2"/>
  <c r="U20" i="2"/>
  <c r="U19" i="2"/>
  <c r="U18" i="2"/>
  <c r="T26" i="2"/>
  <c r="T25" i="2"/>
  <c r="T23" i="2"/>
  <c r="T22" i="2"/>
  <c r="T21" i="2"/>
  <c r="T20" i="2"/>
  <c r="T19" i="2"/>
  <c r="T18" i="2"/>
  <c r="N13" i="2"/>
  <c r="M33" i="2" l="1"/>
  <c r="M34" i="2"/>
  <c r="M35" i="2"/>
  <c r="M36" i="2"/>
  <c r="M37" i="2"/>
  <c r="M38" i="2"/>
  <c r="M39" i="2"/>
  <c r="M40" i="2"/>
  <c r="M32" i="2"/>
  <c r="L94" i="2" l="1"/>
  <c r="X26" i="2"/>
  <c r="W25" i="2"/>
  <c r="W26" i="2"/>
  <c r="V25" i="2"/>
  <c r="V26" i="2"/>
  <c r="T24" i="2"/>
  <c r="U21" i="2" l="1"/>
  <c r="V18" i="2"/>
  <c r="W18" i="2"/>
  <c r="V19" i="2"/>
  <c r="W19" i="2"/>
  <c r="V20" i="2"/>
  <c r="W20" i="2"/>
  <c r="V21" i="2"/>
  <c r="W21" i="2"/>
  <c r="U22" i="2"/>
  <c r="V22" i="2"/>
  <c r="W22" i="2"/>
  <c r="U23" i="2"/>
  <c r="V23" i="2"/>
  <c r="W23" i="2"/>
  <c r="V24" i="2"/>
  <c r="W24" i="2"/>
  <c r="B59" i="2" l="1"/>
  <c r="B60" i="2"/>
  <c r="B61" i="2"/>
  <c r="B62" i="2"/>
  <c r="B63" i="2"/>
  <c r="B64" i="2"/>
  <c r="B65" i="2"/>
  <c r="B66" i="2"/>
  <c r="B58" i="2"/>
  <c r="B48" i="2"/>
  <c r="B49" i="2"/>
  <c r="B50" i="2"/>
  <c r="B51" i="2"/>
  <c r="B52" i="2"/>
  <c r="B53" i="2"/>
  <c r="B54" i="2"/>
  <c r="B47" i="2"/>
  <c r="B46" i="2"/>
  <c r="G53" i="2"/>
  <c r="G54" i="2"/>
  <c r="F53" i="2"/>
  <c r="F54" i="2"/>
  <c r="E53" i="2"/>
  <c r="E54" i="2"/>
  <c r="D53" i="2"/>
  <c r="D54" i="2"/>
  <c r="C53" i="2"/>
  <c r="C54" i="2"/>
  <c r="P95" i="2" l="1"/>
  <c r="P98" i="2"/>
  <c r="P99" i="2"/>
  <c r="P91" i="2"/>
  <c r="L99" i="2"/>
  <c r="L98" i="2"/>
  <c r="L97" i="2"/>
  <c r="L96" i="2"/>
  <c r="L95" i="2"/>
  <c r="L93" i="2"/>
  <c r="L92" i="2"/>
  <c r="N38" i="2"/>
  <c r="N35" i="2"/>
  <c r="N32" i="2"/>
  <c r="N56" i="2"/>
  <c r="N55" i="2"/>
  <c r="N39" i="2"/>
  <c r="N40" i="2"/>
  <c r="N25" i="2"/>
  <c r="N20" i="2"/>
  <c r="N26" i="2"/>
  <c r="L40" i="2"/>
  <c r="L39" i="2"/>
  <c r="C25" i="2"/>
  <c r="X19" i="2" l="1"/>
  <c r="X20" i="2"/>
  <c r="X21" i="2"/>
  <c r="X22" i="2"/>
  <c r="X23" i="2"/>
  <c r="X24" i="2"/>
  <c r="X18" i="2"/>
  <c r="N49" i="2" l="1"/>
  <c r="N50" i="2"/>
  <c r="N51" i="2"/>
  <c r="N52" i="2"/>
  <c r="N53" i="2"/>
  <c r="N54" i="2"/>
  <c r="N48" i="2"/>
  <c r="L33" i="2"/>
  <c r="L34" i="2"/>
  <c r="L35" i="2"/>
  <c r="L36" i="2"/>
  <c r="L37" i="2"/>
  <c r="L38" i="2"/>
  <c r="L32" i="2"/>
  <c r="N19" i="2"/>
  <c r="N21" i="2"/>
  <c r="N22" i="2"/>
  <c r="N23" i="2"/>
  <c r="N24" i="2"/>
  <c r="N18" i="2"/>
  <c r="G45" i="2" l="1"/>
  <c r="U13" i="2" l="1"/>
  <c r="S49" i="2" l="1"/>
  <c r="S55" i="2"/>
  <c r="S56" i="2"/>
  <c r="S52" i="2"/>
  <c r="S48" i="2"/>
  <c r="S51" i="2"/>
  <c r="S54" i="2"/>
  <c r="S50" i="2"/>
  <c r="S53" i="2"/>
  <c r="P89" i="2"/>
  <c r="P90" i="2"/>
  <c r="P88" i="2"/>
  <c r="P86" i="2"/>
  <c r="P87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U12" i="2"/>
  <c r="U11" i="2"/>
  <c r="U10" i="2"/>
  <c r="U9" i="2"/>
  <c r="T10" i="2"/>
  <c r="T11" i="2"/>
  <c r="T12" i="2"/>
  <c r="T13" i="2"/>
  <c r="T9" i="2"/>
  <c r="G47" i="2"/>
  <c r="G48" i="2"/>
  <c r="G49" i="2"/>
  <c r="G50" i="2"/>
  <c r="G51" i="2"/>
  <c r="G52" i="2"/>
  <c r="G46" i="2"/>
  <c r="F47" i="2"/>
  <c r="F48" i="2"/>
  <c r="F49" i="2"/>
  <c r="F50" i="2"/>
  <c r="F51" i="2"/>
  <c r="F52" i="2"/>
  <c r="F46" i="2"/>
  <c r="U57" i="2"/>
  <c r="Q54" i="2" l="1"/>
  <c r="Q55" i="2"/>
  <c r="Q56" i="2"/>
  <c r="R55" i="2"/>
  <c r="R56" i="2"/>
  <c r="O55" i="2"/>
  <c r="O54" i="2"/>
  <c r="O56" i="2"/>
  <c r="P55" i="2"/>
  <c r="P56" i="2"/>
  <c r="S57" i="2"/>
  <c r="AB38" i="2"/>
  <c r="AB40" i="2"/>
  <c r="AF40" i="2" s="1"/>
  <c r="Q99" i="2" s="1"/>
  <c r="R99" i="2" s="1"/>
  <c r="S99" i="2" s="1"/>
  <c r="AB39" i="2"/>
  <c r="AF39" i="2" s="1"/>
  <c r="Q95" i="2" s="1"/>
  <c r="R95" i="2" s="1"/>
  <c r="S95" i="2" s="1"/>
  <c r="R50" i="2"/>
  <c r="R54" i="2"/>
  <c r="R51" i="2"/>
  <c r="R48" i="2"/>
  <c r="R52" i="2"/>
  <c r="R49" i="2"/>
  <c r="R53" i="2"/>
  <c r="P52" i="2"/>
  <c r="P49" i="2"/>
  <c r="P53" i="2"/>
  <c r="P50" i="2"/>
  <c r="P54" i="2"/>
  <c r="P51" i="2"/>
  <c r="P48" i="2"/>
  <c r="Q51" i="2"/>
  <c r="Q48" i="2"/>
  <c r="Q52" i="2"/>
  <c r="Q49" i="2"/>
  <c r="Q53" i="2"/>
  <c r="Q50" i="2"/>
  <c r="O49" i="2"/>
  <c r="O53" i="2"/>
  <c r="O50" i="2"/>
  <c r="O51" i="2"/>
  <c r="O48" i="2"/>
  <c r="O52" i="2"/>
  <c r="C52" i="2"/>
  <c r="D52" i="2"/>
  <c r="E52" i="2"/>
  <c r="R57" i="2" l="1"/>
  <c r="T55" i="2"/>
  <c r="U92" i="2" s="1"/>
  <c r="Q57" i="2"/>
  <c r="P57" i="2"/>
  <c r="T56" i="2"/>
  <c r="U96" i="2" s="1"/>
  <c r="O57" i="2"/>
  <c r="T54" i="2"/>
  <c r="AF38" i="2"/>
  <c r="Q91" i="2" s="1"/>
  <c r="P64" i="2"/>
  <c r="U88" i="2" l="1"/>
  <c r="Q11" i="2"/>
  <c r="R10" i="2"/>
  <c r="R11" i="2"/>
  <c r="S12" i="2"/>
  <c r="X38" i="2" l="1"/>
  <c r="X39" i="2"/>
  <c r="X40" i="2"/>
  <c r="W38" i="2"/>
  <c r="W40" i="2"/>
  <c r="W39" i="2"/>
  <c r="U38" i="2"/>
  <c r="U39" i="2"/>
  <c r="U40" i="2"/>
  <c r="V38" i="2"/>
  <c r="V40" i="2"/>
  <c r="V39" i="2"/>
  <c r="P66" i="2" l="1"/>
  <c r="S13" i="2" l="1"/>
  <c r="S11" i="2"/>
  <c r="S10" i="2"/>
  <c r="S9" i="2"/>
  <c r="R9" i="2"/>
  <c r="R12" i="2"/>
  <c r="R13" i="2"/>
  <c r="Q9" i="2"/>
  <c r="T39" i="2" l="1"/>
  <c r="T38" i="2"/>
  <c r="T40" i="2"/>
  <c r="Z38" i="2"/>
  <c r="AD38" i="2" s="1"/>
  <c r="Q89" i="2" s="1"/>
  <c r="Z40" i="2"/>
  <c r="AD40" i="2" s="1"/>
  <c r="Z39" i="2"/>
  <c r="AD39" i="2" s="1"/>
  <c r="AA38" i="2"/>
  <c r="AE38" i="2" s="1"/>
  <c r="Q90" i="2" s="1"/>
  <c r="AA39" i="2"/>
  <c r="AE39" i="2" s="1"/>
  <c r="AA40" i="2"/>
  <c r="AE40" i="2" s="1"/>
  <c r="Q98" i="2" s="1"/>
  <c r="R98" i="2" s="1"/>
  <c r="S98" i="2" s="1"/>
  <c r="Q10" i="2"/>
  <c r="Q12" i="2"/>
  <c r="Q13" i="2"/>
  <c r="Y39" i="2" l="1"/>
  <c r="AC39" i="2" s="1"/>
  <c r="Y38" i="2"/>
  <c r="AC38" i="2" s="1"/>
  <c r="Q88" i="2" s="1"/>
  <c r="Y40" i="2"/>
  <c r="AC40" i="2" s="1"/>
  <c r="P65" i="2"/>
  <c r="C46" i="2"/>
  <c r="E46" i="2"/>
  <c r="D46" i="2"/>
  <c r="C51" i="2"/>
  <c r="C12" i="2" l="1"/>
  <c r="P13" i="2"/>
  <c r="X17" i="2" l="1"/>
  <c r="S47" i="2"/>
  <c r="AA31" i="2"/>
  <c r="S17" i="2"/>
  <c r="S31" i="2"/>
  <c r="Z31" i="2"/>
  <c r="Y31" i="2"/>
  <c r="AA35" i="2"/>
  <c r="AB35" i="2"/>
  <c r="AF35" i="2" s="1"/>
  <c r="Q79" i="2" s="1"/>
  <c r="R79" i="2" s="1"/>
  <c r="AB32" i="2"/>
  <c r="AF32" i="2" s="1"/>
  <c r="T32" i="2"/>
  <c r="T36" i="2"/>
  <c r="AB36" i="2"/>
  <c r="AF36" i="2" s="1"/>
  <c r="Q83" i="2" s="1"/>
  <c r="R83" i="2" s="1"/>
  <c r="T33" i="2"/>
  <c r="AB33" i="2"/>
  <c r="AF33" i="2" s="1"/>
  <c r="Q71" i="2" s="1"/>
  <c r="R71" i="2" s="1"/>
  <c r="V34" i="2"/>
  <c r="T34" i="2"/>
  <c r="AB34" i="2"/>
  <c r="AF34" i="2" s="1"/>
  <c r="Q75" i="2" s="1"/>
  <c r="R75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N33" i="2"/>
  <c r="N34" i="2"/>
  <c r="N36" i="2"/>
  <c r="N37" i="2"/>
  <c r="D47" i="2"/>
  <c r="E47" i="2"/>
  <c r="D48" i="2"/>
  <c r="E48" i="2"/>
  <c r="D49" i="2"/>
  <c r="E49" i="2"/>
  <c r="D50" i="2"/>
  <c r="E50" i="2"/>
  <c r="D51" i="2"/>
  <c r="E51" i="2"/>
  <c r="C47" i="2"/>
  <c r="C48" i="2"/>
  <c r="C49" i="2"/>
  <c r="C50" i="2"/>
  <c r="N92" i="2" l="1"/>
  <c r="M93" i="2"/>
  <c r="N96" i="2"/>
  <c r="M96" i="2"/>
  <c r="N97" i="2"/>
  <c r="M94" i="2"/>
  <c r="M92" i="2"/>
  <c r="M97" i="2"/>
  <c r="N93" i="2"/>
  <c r="S75" i="2"/>
  <c r="S71" i="2"/>
  <c r="AE35" i="2"/>
  <c r="Q78" i="2" s="1"/>
  <c r="R78" i="2" s="1"/>
  <c r="S78" i="2" s="1"/>
  <c r="AC34" i="2"/>
  <c r="Q72" i="2" s="1"/>
  <c r="R72" i="2" s="1"/>
  <c r="S72" i="2" s="1"/>
  <c r="S83" i="2"/>
  <c r="S79" i="2"/>
  <c r="AC33" i="2"/>
  <c r="Q68" i="2" s="1"/>
  <c r="R68" i="2" s="1"/>
  <c r="S68" i="2" s="1"/>
  <c r="AD32" i="2"/>
  <c r="Q65" i="2" s="1"/>
  <c r="AD33" i="2"/>
  <c r="Q69" i="2" s="1"/>
  <c r="R69" i="2" s="1"/>
  <c r="S69" i="2" s="1"/>
  <c r="AD34" i="2"/>
  <c r="Q73" i="2" s="1"/>
  <c r="R73" i="2" s="1"/>
  <c r="S73" i="2" s="1"/>
  <c r="AE36" i="2"/>
  <c r="Q82" i="2" s="1"/>
  <c r="R82" i="2" s="1"/>
  <c r="S82" i="2" s="1"/>
  <c r="AE32" i="2"/>
  <c r="Q66" i="2" s="1"/>
  <c r="AE34" i="2"/>
  <c r="Q74" i="2" s="1"/>
  <c r="R74" i="2" s="1"/>
  <c r="S74" i="2" s="1"/>
  <c r="AC36" i="2"/>
  <c r="Q80" i="2" s="1"/>
  <c r="R80" i="2" s="1"/>
  <c r="S80" i="2" s="1"/>
  <c r="AE33" i="2"/>
  <c r="Q70" i="2" s="1"/>
  <c r="R70" i="2" s="1"/>
  <c r="S70" i="2" s="1"/>
  <c r="AD35" i="2"/>
  <c r="Q77" i="2" s="1"/>
  <c r="R77" i="2" s="1"/>
  <c r="S77" i="2" s="1"/>
  <c r="AC32" i="2"/>
  <c r="AD36" i="2"/>
  <c r="Q81" i="2" s="1"/>
  <c r="R81" i="2" s="1"/>
  <c r="S81" i="2" s="1"/>
  <c r="AC35" i="2"/>
  <c r="Q76" i="2" s="1"/>
  <c r="R76" i="2" s="1"/>
  <c r="P93" i="2" l="1"/>
  <c r="Q93" i="2"/>
  <c r="R93" i="2" s="1"/>
  <c r="S93" i="2" s="1"/>
  <c r="P97" i="2"/>
  <c r="Q97" i="2"/>
  <c r="R97" i="2" s="1"/>
  <c r="S97" i="2" s="1"/>
  <c r="P94" i="2"/>
  <c r="Q94" i="2"/>
  <c r="R94" i="2" s="1"/>
  <c r="S94" i="2" s="1"/>
  <c r="P92" i="2"/>
  <c r="Q92" i="2"/>
  <c r="R92" i="2" s="1"/>
  <c r="P96" i="2"/>
  <c r="Q96" i="2"/>
  <c r="R96" i="2" s="1"/>
  <c r="P85" i="2"/>
  <c r="P84" i="2"/>
  <c r="T48" i="2"/>
  <c r="U64" i="2" s="1"/>
  <c r="W72" i="2"/>
  <c r="C60" i="2" s="1"/>
  <c r="T72" i="2"/>
  <c r="T51" i="2"/>
  <c r="U76" i="2" s="1"/>
  <c r="T50" i="2"/>
  <c r="U72" i="2" s="1"/>
  <c r="T49" i="2"/>
  <c r="U68" i="2" s="1"/>
  <c r="T68" i="2"/>
  <c r="Q64" i="2"/>
  <c r="W76" i="2"/>
  <c r="C61" i="2" s="1"/>
  <c r="S76" i="2"/>
  <c r="T76" i="2" s="1"/>
  <c r="W80" i="2"/>
  <c r="C62" i="2" s="1"/>
  <c r="W68" i="2"/>
  <c r="C59" i="2" s="1"/>
  <c r="T80" i="2"/>
  <c r="T52" i="2"/>
  <c r="U80" i="2" s="1"/>
  <c r="P67" i="2"/>
  <c r="Q67" i="2" s="1"/>
  <c r="S92" i="2" l="1"/>
  <c r="T92" i="2" s="1"/>
  <c r="V92" i="2" s="1"/>
  <c r="X92" i="2" s="1"/>
  <c r="D65" i="2" s="1"/>
  <c r="W92" i="2"/>
  <c r="C65" i="2" s="1"/>
  <c r="S96" i="2"/>
  <c r="T96" i="2" s="1"/>
  <c r="V96" i="2" s="1"/>
  <c r="X96" i="2" s="1"/>
  <c r="D66" i="2" s="1"/>
  <c r="W96" i="2"/>
  <c r="C66" i="2" s="1"/>
  <c r="P42" i="2"/>
  <c r="D55" i="2" s="1"/>
  <c r="Q42" i="2"/>
  <c r="E55" i="2" s="1"/>
  <c r="S42" i="2"/>
  <c r="G55" i="2" s="1"/>
  <c r="O42" i="2"/>
  <c r="C55" i="2" s="1"/>
  <c r="R42" i="2"/>
  <c r="F55" i="2" s="1"/>
  <c r="AB37" i="2"/>
  <c r="AF37" i="2" s="1"/>
  <c r="Q87" i="2" s="1"/>
  <c r="R87" i="2" s="1"/>
  <c r="S87" i="2" s="1"/>
  <c r="R91" i="2"/>
  <c r="S91" i="2" s="1"/>
  <c r="T53" i="2"/>
  <c r="V68" i="2"/>
  <c r="X68" i="2" s="1"/>
  <c r="D59" i="2" s="1"/>
  <c r="V72" i="2"/>
  <c r="X72" i="2" s="1"/>
  <c r="D60" i="2" s="1"/>
  <c r="V76" i="2"/>
  <c r="X76" i="2" s="1"/>
  <c r="D61" i="2" s="1"/>
  <c r="V80" i="2"/>
  <c r="X80" i="2" s="1"/>
  <c r="D62" i="2" s="1"/>
  <c r="T37" i="2"/>
  <c r="W37" i="2"/>
  <c r="X37" i="2"/>
  <c r="AA37" i="2"/>
  <c r="Y37" i="2"/>
  <c r="U37" i="2"/>
  <c r="Z37" i="2"/>
  <c r="V37" i="2"/>
  <c r="U84" i="2" l="1"/>
  <c r="U110" i="2" s="1"/>
  <c r="T57" i="2"/>
  <c r="AC37" i="2"/>
  <c r="AD37" i="2"/>
  <c r="AE37" i="2"/>
  <c r="R64" i="2"/>
  <c r="S64" i="2" s="1"/>
  <c r="R66" i="2"/>
  <c r="S66" i="2" s="1"/>
  <c r="R65" i="2"/>
  <c r="S65" i="2" s="1"/>
  <c r="Q86" i="2" l="1"/>
  <c r="R86" i="2" s="1"/>
  <c r="S86" i="2" s="1"/>
  <c r="Q84" i="2"/>
  <c r="R84" i="2" s="1"/>
  <c r="S84" i="2" s="1"/>
  <c r="Q85" i="2"/>
  <c r="R85" i="2" s="1"/>
  <c r="S85" i="2" s="1"/>
  <c r="R89" i="2"/>
  <c r="S89" i="2" s="1"/>
  <c r="R67" i="2"/>
  <c r="R88" i="2" l="1"/>
  <c r="R90" i="2"/>
  <c r="S90" i="2" s="1"/>
  <c r="T84" i="2"/>
  <c r="V84" i="2" s="1"/>
  <c r="W84" i="2"/>
  <c r="C63" i="2" s="1"/>
  <c r="S67" i="2"/>
  <c r="T64" i="2" s="1"/>
  <c r="W64" i="2"/>
  <c r="C58" i="2" s="1"/>
  <c r="X84" i="2" l="1"/>
  <c r="D63" i="2" s="1"/>
  <c r="S88" i="2"/>
  <c r="T88" i="2" s="1"/>
  <c r="V88" i="2" s="1"/>
  <c r="W88" i="2"/>
  <c r="C64" i="2" s="1"/>
  <c r="V64" i="2"/>
  <c r="V110" i="2" l="1"/>
  <c r="C68" i="2" s="1"/>
  <c r="T110" i="2"/>
  <c r="X88" i="2"/>
  <c r="D64" i="2" s="1"/>
  <c r="X64" i="2"/>
  <c r="D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  <author>User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D2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N'entrez pas de valeur de grain ici. Cette valeur doit être entrée ci-dessus</t>
        </r>
      </text>
    </comment>
    <comment ref="G27" authorId="0" shapeId="0" xr:uid="{00000000-0006-0000-0100-000004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<sst xmlns="http://schemas.openxmlformats.org/spreadsheetml/2006/main" count="175" uniqueCount="159">
  <si>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</si>
  <si>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</si>
  <si>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</si>
  <si>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</si>
  <si>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</si>
  <si>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</si>
  <si>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</si>
  <si>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</si>
  <si>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</si>
  <si>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Southern Guinea</t>
  </si>
  <si>
    <t>Engrais</t>
  </si>
  <si>
    <t>Abréviation</t>
  </si>
  <si>
    <t>Azote</t>
  </si>
  <si>
    <t>Phosphore</t>
  </si>
  <si>
    <t>Potassium</t>
  </si>
  <si>
    <t>Prix/kg</t>
  </si>
  <si>
    <t>Urée</t>
  </si>
  <si>
    <t>Urea</t>
  </si>
  <si>
    <t>Nom du producteur</t>
  </si>
  <si>
    <t>xxx</t>
  </si>
  <si>
    <t>Triple Super Phosphate</t>
  </si>
  <si>
    <t>TSP</t>
  </si>
  <si>
    <t>Préparé par</t>
  </si>
  <si>
    <t>Diammonium Phosphate</t>
  </si>
  <si>
    <t>DAP</t>
  </si>
  <si>
    <t>Date</t>
  </si>
  <si>
    <t>Chlorure de Potassium</t>
  </si>
  <si>
    <t>KCl</t>
  </si>
  <si>
    <t>Sélection DES Cultures et Prix</t>
  </si>
  <si>
    <t>Culture</t>
  </si>
  <si>
    <t>Superficie emblavée 
(Ha)*</t>
  </si>
  <si>
    <t>Valeur grain attendu/kg †</t>
  </si>
  <si>
    <t>Riz, lowland</t>
  </si>
  <si>
    <t>Contraints des engrais</t>
  </si>
  <si>
    <t>Maximale d'Unité fertilisant totale  des engrais</t>
  </si>
  <si>
    <t>Maïs</t>
  </si>
  <si>
    <t>Urée Min</t>
  </si>
  <si>
    <t>TSP Min</t>
  </si>
  <si>
    <t>DAP Min</t>
  </si>
  <si>
    <t>KCl Min</t>
  </si>
  <si>
    <t>Urée Max</t>
  </si>
  <si>
    <t>TSP Max</t>
  </si>
  <si>
    <t>DAP Max</t>
  </si>
  <si>
    <t>KCl Max</t>
  </si>
  <si>
    <t>N Somme</t>
  </si>
  <si>
    <t>P Somme</t>
  </si>
  <si>
    <t>K Somme</t>
  </si>
  <si>
    <t>Zn Somme</t>
  </si>
  <si>
    <t>Sorgho</t>
  </si>
  <si>
    <t>Soja</t>
  </si>
  <si>
    <t>Arachide</t>
  </si>
  <si>
    <t>Manioc</t>
  </si>
  <si>
    <t>Riz, upland</t>
  </si>
  <si>
    <t>Sorgho-Arachide</t>
  </si>
  <si>
    <t>Maïs-Arachide</t>
  </si>
  <si>
    <t>Total</t>
  </si>
  <si>
    <t>*</t>
  </si>
  <si>
    <t>Selection des engrais et Prix</t>
  </si>
  <si>
    <t>Type d'engrais</t>
  </si>
  <si>
    <t>N</t>
  </si>
  <si>
    <t>P2O5</t>
  </si>
  <si>
    <t>K2O</t>
  </si>
  <si>
    <t>Coûts/50 kg bag ¶*</t>
  </si>
  <si>
    <t>Triple super phosphate, TSP</t>
  </si>
  <si>
    <t>Diammonium phosphate, DAP</t>
  </si>
  <si>
    <t>Superficie emblavée et Prix</t>
  </si>
  <si>
    <t>Quantité des engrais</t>
  </si>
  <si>
    <t>Unités d'engrais Appliquées/Ha</t>
  </si>
  <si>
    <t>Engrais Totals</t>
  </si>
  <si>
    <t>Chlorure de Potassium, KCL</t>
  </si>
  <si>
    <t>Ha Cultivé</t>
  </si>
  <si>
    <t>Valeur/kg</t>
  </si>
  <si>
    <t xml:space="preserve">Urée kg </t>
  </si>
  <si>
    <t xml:space="preserve">TSP kg </t>
  </si>
  <si>
    <t xml:space="preserve">DAP kg </t>
  </si>
  <si>
    <t xml:space="preserve">KCl kg </t>
  </si>
  <si>
    <t>Urée kg (N)</t>
  </si>
  <si>
    <t>TSP kg (P)</t>
  </si>
  <si>
    <t>DAP kg (N)</t>
  </si>
  <si>
    <t>DAP kg (P)</t>
  </si>
  <si>
    <t>KCl kg (K)</t>
  </si>
  <si>
    <t>Sulp kg (S)</t>
  </si>
  <si>
    <t>N Sum</t>
  </si>
  <si>
    <t>P Sum</t>
  </si>
  <si>
    <t>K Sum</t>
  </si>
  <si>
    <t>S sum</t>
  </si>
  <si>
    <t>ZnSO4</t>
  </si>
  <si>
    <t xml:space="preserve"> Constrainte budgétaire</t>
  </si>
  <si>
    <t>Quantité disponible pour investir en engrais</t>
  </si>
  <si>
    <t>Somme</t>
  </si>
  <si>
    <t>Total Fertilizer needed</t>
  </si>
  <si>
    <t>Optimisation des fertilisants</t>
  </si>
  <si>
    <t>Application Rate - kg/ha</t>
  </si>
  <si>
    <t>KCL</t>
  </si>
  <si>
    <t xml:space="preserve"> </t>
  </si>
  <si>
    <t>Coûts des Engrais</t>
  </si>
  <si>
    <t xml:space="preserve">Urée </t>
  </si>
  <si>
    <t xml:space="preserve">TSP </t>
  </si>
  <si>
    <t xml:space="preserve">DAP </t>
  </si>
  <si>
    <t xml:space="preserve">KCl </t>
  </si>
  <si>
    <t>Fertilizer Cost/Crop</t>
  </si>
  <si>
    <t>Budget Constraint</t>
  </si>
  <si>
    <t>Total fertilizer amount</t>
  </si>
  <si>
    <t>Effets moyen atendus par Ha</t>
  </si>
  <si>
    <t>Augmentation en rendement</t>
  </si>
  <si>
    <t>Gain Nets</t>
  </si>
  <si>
    <t>Culture et Reponse de rendement</t>
  </si>
  <si>
    <t>Gain et Dépenses</t>
  </si>
  <si>
    <t>Output Variable - kg/Ha</t>
  </si>
  <si>
    <t>Fonctions</t>
  </si>
  <si>
    <t>Coffecient a</t>
  </si>
  <si>
    <t>Coefficient b</t>
  </si>
  <si>
    <t>Coefficient c</t>
  </si>
  <si>
    <t>Production de Base</t>
  </si>
  <si>
    <t xml:space="preserve">Changement Attendu </t>
  </si>
  <si>
    <t>Rendement attendu Kg</t>
  </si>
  <si>
    <t xml:space="preserve">Valeur Individuelle Net </t>
  </si>
  <si>
    <t>Valeur  Net par Fertilisant</t>
  </si>
  <si>
    <t xml:space="preserve">Gains Net </t>
  </si>
  <si>
    <t>Augmentation en Rendements</t>
  </si>
  <si>
    <t>Riz, irrigué N</t>
  </si>
  <si>
    <t>Riz, irrigué P</t>
  </si>
  <si>
    <t>Riz, irrigué K</t>
  </si>
  <si>
    <t>Gain total Net  attendu en engrais</t>
  </si>
  <si>
    <t>Riz, irriguéZn</t>
  </si>
  <si>
    <t>Gain total Net  à investir en engrais</t>
  </si>
  <si>
    <t>Maïs N</t>
  </si>
  <si>
    <t>Maïs P</t>
  </si>
  <si>
    <t>Maïs K</t>
  </si>
  <si>
    <t>Maïs Zn</t>
  </si>
  <si>
    <t>Sorgho N</t>
  </si>
  <si>
    <t>Sorgho P</t>
  </si>
  <si>
    <t>Sorgho K</t>
  </si>
  <si>
    <t>Credits: Ali Ibrahim, OCP-Africa and Charles Wortmann, Jim Jansen and Matthew Stockton, Universirty of Nebraska-Lincoln, USA</t>
  </si>
  <si>
    <t>Sorgho Zn</t>
  </si>
  <si>
    <t>Soja N</t>
  </si>
  <si>
    <t>For information, contact: Ali Ibrahim; ibabaye@gmail.com</t>
  </si>
  <si>
    <t>Soja P</t>
  </si>
  <si>
    <t>Soja K</t>
  </si>
  <si>
    <t>Acknowledgements:  funding support from the Alliance for a  Green Revolution in Africa--Soil Health Programme, and University of Nebraska-Lincoln.</t>
  </si>
  <si>
    <t>Soja Zn</t>
  </si>
  <si>
    <t>Arachide N</t>
  </si>
  <si>
    <t>© 2015, The Board of Regents of the University of Nebraska. All rights reserved.</t>
  </si>
  <si>
    <t>Arachide P</t>
  </si>
  <si>
    <t>Arachide K</t>
  </si>
  <si>
    <t>Arachide Zn</t>
  </si>
  <si>
    <t>Manioc N</t>
  </si>
  <si>
    <t>Manioc P</t>
  </si>
  <si>
    <t>Manioc K</t>
  </si>
  <si>
    <t>Manioc Zn</t>
  </si>
  <si>
    <t>Riz, upland N</t>
  </si>
  <si>
    <t>Riz, upland P</t>
  </si>
  <si>
    <t>Riz, upland K</t>
  </si>
  <si>
    <t>Riz, upland Zn</t>
  </si>
  <si>
    <t>to be specified by crop entered by programmer</t>
  </si>
  <si>
    <t>Sommes Accumulées</t>
  </si>
  <si>
    <t xml:space="preserve"> Valeur Net</t>
  </si>
  <si>
    <t>Coût des Engrais</t>
  </si>
  <si>
    <t xml:space="preserve">Gain Net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</si>
</sst>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1" tint="4.9989318521683403E-2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rgb="FF00B0F0"/>
      <name val="Arial"/>
      <family val="2"/>
    </font>
    <font>
      <sz val="11"/>
      <color rgb="FFDDF456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3" fillId="6" borderId="0" xfId="0" applyFont="1" applyFill="1"/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0" borderId="0" xfId="0" applyFont="1"/>
    <xf numFmtId="0" fontId="7" fillId="0" borderId="0" xfId="0" quotePrefix="1" applyFont="1"/>
    <xf numFmtId="0" fontId="9" fillId="6" borderId="0" xfId="0" applyFont="1" applyFill="1"/>
    <xf numFmtId="0" fontId="10" fillId="6" borderId="0" xfId="0" applyFont="1" applyFill="1"/>
    <xf numFmtId="0" fontId="7" fillId="0" borderId="4" xfId="0" applyFont="1" applyBorder="1"/>
    <xf numFmtId="0" fontId="7" fillId="0" borderId="5" xfId="0" applyFont="1" applyBorder="1"/>
    <xf numFmtId="0" fontId="7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165" fontId="7" fillId="0" borderId="4" xfId="4" applyNumberFormat="1" applyFont="1" applyBorder="1" applyAlignment="1">
      <alignment horizontal="center"/>
    </xf>
    <xf numFmtId="165" fontId="7" fillId="0" borderId="14" xfId="4" applyNumberFormat="1" applyFont="1" applyFill="1" applyBorder="1" applyAlignment="1">
      <alignment horizontal="center"/>
    </xf>
    <xf numFmtId="165" fontId="7" fillId="0" borderId="5" xfId="4" applyNumberFormat="1" applyFont="1" applyFill="1" applyBorder="1" applyAlignment="1">
      <alignment horizontal="center"/>
    </xf>
    <xf numFmtId="9" fontId="11" fillId="0" borderId="10" xfId="4" applyFont="1" applyFill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0" fontId="12" fillId="6" borderId="0" xfId="0" applyFont="1" applyFill="1" applyAlignment="1">
      <alignment horizontal="right"/>
    </xf>
    <xf numFmtId="0" fontId="14" fillId="6" borderId="0" xfId="1" applyFont="1" applyFill="1"/>
    <xf numFmtId="0" fontId="7" fillId="0" borderId="6" xfId="0" applyFont="1" applyBorder="1" applyAlignment="1">
      <alignment horizontal="center"/>
    </xf>
    <xf numFmtId="165" fontId="7" fillId="0" borderId="6" xfId="4" applyNumberFormat="1" applyFont="1" applyBorder="1" applyAlignment="1">
      <alignment horizontal="center"/>
    </xf>
    <xf numFmtId="165" fontId="7" fillId="0" borderId="0" xfId="4" applyNumberFormat="1" applyFont="1" applyFill="1" applyBorder="1" applyAlignment="1">
      <alignment horizontal="center"/>
    </xf>
    <xf numFmtId="165" fontId="7" fillId="0" borderId="7" xfId="4" applyNumberFormat="1" applyFont="1" applyFill="1" applyBorder="1" applyAlignment="1">
      <alignment horizontal="center"/>
    </xf>
    <xf numFmtId="165" fontId="7" fillId="0" borderId="6" xfId="4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9" xfId="0" applyFont="1" applyBorder="1"/>
    <xf numFmtId="0" fontId="11" fillId="0" borderId="8" xfId="0" applyFont="1" applyBorder="1" applyAlignment="1">
      <alignment horizontal="center"/>
    </xf>
    <xf numFmtId="165" fontId="11" fillId="0" borderId="8" xfId="4" applyNumberFormat="1" applyFont="1" applyBorder="1" applyAlignment="1">
      <alignment horizontal="center"/>
    </xf>
    <xf numFmtId="165" fontId="11" fillId="0" borderId="15" xfId="4" applyNumberFormat="1" applyFont="1" applyFill="1" applyBorder="1" applyAlignment="1">
      <alignment horizontal="center"/>
    </xf>
    <xf numFmtId="165" fontId="11" fillId="0" borderId="9" xfId="4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4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15" fillId="4" borderId="10" xfId="1" applyFont="1" applyFill="1" applyBorder="1" applyAlignment="1">
      <alignment horizontal="center" vertical="center" wrapText="1"/>
    </xf>
    <xf numFmtId="0" fontId="15" fillId="4" borderId="13" xfId="1" applyFont="1" applyFill="1" applyBorder="1" applyAlignment="1">
      <alignment horizontal="center" vertical="center" wrapText="1"/>
    </xf>
    <xf numFmtId="0" fontId="16" fillId="0" borderId="2" xfId="1" applyFont="1" applyBorder="1" applyAlignment="1" applyProtection="1">
      <alignment horizontal="center"/>
      <protection locked="0"/>
    </xf>
    <xf numFmtId="0" fontId="16" fillId="4" borderId="6" xfId="1" applyFont="1" applyFill="1" applyBorder="1" applyAlignment="1">
      <alignment horizontal="left"/>
    </xf>
    <xf numFmtId="0" fontId="7" fillId="0" borderId="8" xfId="0" applyFont="1" applyBorder="1"/>
    <xf numFmtId="0" fontId="16" fillId="2" borderId="6" xfId="1" applyFont="1" applyFill="1" applyBorder="1" applyAlignment="1">
      <alignment horizontal="left"/>
    </xf>
    <xf numFmtId="2" fontId="7" fillId="0" borderId="4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7" fillId="8" borderId="0" xfId="0" applyNumberFormat="1" applyFont="1" applyFill="1" applyAlignment="1">
      <alignment horizontal="center"/>
    </xf>
    <xf numFmtId="1" fontId="11" fillId="2" borderId="0" xfId="0" applyNumberFormat="1" applyFont="1" applyFill="1" applyAlignment="1">
      <alignment horizontal="center"/>
    </xf>
    <xf numFmtId="0" fontId="13" fillId="7" borderId="3" xfId="0" applyFont="1" applyFill="1" applyBorder="1" applyAlignment="1" applyProtection="1">
      <alignment horizontal="center"/>
      <protection locked="0"/>
    </xf>
    <xf numFmtId="0" fontId="16" fillId="6" borderId="10" xfId="1" applyFont="1" applyFill="1" applyBorder="1"/>
    <xf numFmtId="0" fontId="15" fillId="4" borderId="4" xfId="1" applyFont="1" applyFill="1" applyBorder="1" applyAlignment="1">
      <alignment horizontal="left" vertical="center"/>
    </xf>
    <xf numFmtId="0" fontId="17" fillId="4" borderId="5" xfId="0" applyFont="1" applyFill="1" applyBorder="1" applyAlignment="1">
      <alignment horizontal="center" vertical="center"/>
    </xf>
    <xf numFmtId="0" fontId="15" fillId="4" borderId="5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left"/>
    </xf>
    <xf numFmtId="9" fontId="13" fillId="0" borderId="3" xfId="4" applyFont="1" applyFill="1" applyBorder="1" applyAlignment="1" applyProtection="1">
      <alignment horizontal="center"/>
      <protection locked="0"/>
    </xf>
    <xf numFmtId="0" fontId="13" fillId="0" borderId="3" xfId="1" applyFont="1" applyBorder="1" applyAlignment="1" applyProtection="1">
      <alignment horizontal="center"/>
      <protection locked="0"/>
    </xf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66" fontId="7" fillId="0" borderId="6" xfId="0" applyNumberFormat="1" applyFont="1" applyBorder="1" applyAlignment="1" applyProtection="1">
      <alignment horizontal="center"/>
      <protection locked="0"/>
    </xf>
    <xf numFmtId="166" fontId="7" fillId="0" borderId="0" xfId="0" applyNumberFormat="1" applyFont="1" applyAlignment="1" applyProtection="1">
      <alignment horizontal="center"/>
      <protection locked="0"/>
    </xf>
    <xf numFmtId="1" fontId="7" fillId="0" borderId="6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0" fontId="16" fillId="4" borderId="8" xfId="1" applyFont="1" applyFill="1" applyBorder="1" applyAlignment="1">
      <alignment wrapText="1"/>
    </xf>
    <xf numFmtId="0" fontId="16" fillId="6" borderId="0" xfId="1" applyFont="1" applyFill="1"/>
    <xf numFmtId="0" fontId="7" fillId="0" borderId="2" xfId="0" applyFont="1" applyBorder="1" applyAlignment="1">
      <alignment horizontal="center" vertical="center"/>
    </xf>
    <xf numFmtId="166" fontId="7" fillId="0" borderId="6" xfId="0" applyNumberFormat="1" applyFont="1" applyBorder="1" applyAlignment="1" applyProtection="1">
      <alignment horizontal="center" vertical="center"/>
      <protection locked="0"/>
    </xf>
    <xf numFmtId="166" fontId="7" fillId="0" borderId="0" xfId="0" applyNumberFormat="1" applyFont="1" applyAlignment="1" applyProtection="1">
      <alignment horizontal="center" vertical="center"/>
      <protection locked="0"/>
    </xf>
    <xf numFmtId="1" fontId="7" fillId="0" borderId="6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6" fillId="6" borderId="0" xfId="1" applyFont="1" applyFill="1" applyAlignment="1">
      <alignment horizontal="left" vertical="top" wrapText="1"/>
    </xf>
    <xf numFmtId="0" fontId="13" fillId="6" borderId="0" xfId="0" applyFont="1" applyFill="1"/>
    <xf numFmtId="0" fontId="16" fillId="6" borderId="0" xfId="1" applyFont="1" applyFill="1" applyAlignment="1">
      <alignment horizontal="left" wrapText="1"/>
    </xf>
    <xf numFmtId="1" fontId="19" fillId="0" borderId="9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13" fillId="0" borderId="10" xfId="0" applyFont="1" applyBorder="1"/>
    <xf numFmtId="2" fontId="7" fillId="0" borderId="10" xfId="0" applyNumberFormat="1" applyFont="1" applyBorder="1"/>
    <xf numFmtId="1" fontId="19" fillId="0" borderId="10" xfId="0" applyNumberFormat="1" applyFont="1" applyBorder="1"/>
    <xf numFmtId="1" fontId="7" fillId="0" borderId="10" xfId="0" applyNumberFormat="1" applyFont="1" applyBorder="1"/>
    <xf numFmtId="0" fontId="15" fillId="5" borderId="8" xfId="1" applyFont="1" applyFill="1" applyBorder="1" applyAlignment="1">
      <alignment horizontal="center"/>
    </xf>
    <xf numFmtId="0" fontId="15" fillId="5" borderId="11" xfId="1" applyFont="1" applyFill="1" applyBorder="1" applyAlignment="1">
      <alignment horizontal="left" vertical="center"/>
    </xf>
    <xf numFmtId="0" fontId="15" fillId="5" borderId="10" xfId="1" applyFont="1" applyFill="1" applyBorder="1" applyAlignment="1">
      <alignment horizontal="center"/>
    </xf>
    <xf numFmtId="1" fontId="16" fillId="5" borderId="2" xfId="1" applyNumberFormat="1" applyFont="1" applyFill="1" applyBorder="1" applyAlignment="1">
      <alignment horizontal="center"/>
    </xf>
    <xf numFmtId="0" fontId="7" fillId="0" borderId="3" xfId="0" applyFont="1" applyBorder="1"/>
    <xf numFmtId="0" fontId="7" fillId="0" borderId="7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" fontId="13" fillId="5" borderId="2" xfId="1" applyNumberFormat="1" applyFont="1" applyFill="1" applyBorder="1" applyAlignment="1">
      <alignment horizontal="center"/>
    </xf>
    <xf numFmtId="1" fontId="16" fillId="5" borderId="7" xfId="1" applyNumberFormat="1" applyFont="1" applyFill="1" applyBorder="1" applyAlignment="1">
      <alignment horizontal="center"/>
    </xf>
    <xf numFmtId="0" fontId="15" fillId="5" borderId="8" xfId="1" applyFont="1" applyFill="1" applyBorder="1" applyAlignment="1">
      <alignment horizontal="left"/>
    </xf>
    <xf numFmtId="1" fontId="16" fillId="5" borderId="10" xfId="1" applyNumberFormat="1" applyFont="1" applyFill="1" applyBorder="1" applyAlignment="1">
      <alignment horizontal="center"/>
    </xf>
    <xf numFmtId="0" fontId="14" fillId="6" borderId="0" xfId="1" applyFont="1" applyFill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0" fontId="15" fillId="5" borderId="10" xfId="1" applyFont="1" applyFill="1" applyBorder="1" applyAlignment="1">
      <alignment horizontal="center" vertical="center" wrapText="1"/>
    </xf>
    <xf numFmtId="0" fontId="15" fillId="5" borderId="13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wrapText="1"/>
    </xf>
    <xf numFmtId="166" fontId="7" fillId="0" borderId="10" xfId="0" applyNumberFormat="1" applyFont="1" applyBorder="1" applyAlignment="1">
      <alignment horizontal="center"/>
    </xf>
    <xf numFmtId="3" fontId="16" fillId="5" borderId="2" xfId="1" applyNumberFormat="1" applyFont="1" applyFill="1" applyBorder="1" applyAlignment="1">
      <alignment horizontal="center"/>
    </xf>
    <xf numFmtId="166" fontId="7" fillId="0" borderId="0" xfId="0" applyNumberFormat="1" applyFont="1"/>
    <xf numFmtId="0" fontId="7" fillId="2" borderId="10" xfId="0" applyFont="1" applyFill="1" applyBorder="1"/>
    <xf numFmtId="168" fontId="7" fillId="0" borderId="10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7" fillId="0" borderId="10" xfId="0" quotePrefix="1" applyNumberFormat="1" applyFont="1" applyBorder="1" applyAlignment="1">
      <alignment horizontal="center"/>
    </xf>
    <xf numFmtId="0" fontId="16" fillId="5" borderId="8" xfId="1" applyFont="1" applyFill="1" applyBorder="1" applyAlignment="1">
      <alignment wrapText="1"/>
    </xf>
    <xf numFmtId="168" fontId="7" fillId="0" borderId="10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166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3" fillId="6" borderId="0" xfId="1" applyFont="1" applyFill="1" applyAlignment="1">
      <alignment horizontal="left" wrapText="1"/>
    </xf>
    <xf numFmtId="3" fontId="7" fillId="0" borderId="10" xfId="0" quotePrefix="1" applyNumberFormat="1" applyFont="1" applyBorder="1" applyAlignment="1">
      <alignment horizontal="center" vertical="center"/>
    </xf>
    <xf numFmtId="0" fontId="8" fillId="2" borderId="10" xfId="0" applyFont="1" applyFill="1" applyBorder="1"/>
    <xf numFmtId="0" fontId="8" fillId="0" borderId="10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3" fontId="8" fillId="0" borderId="10" xfId="0" quotePrefix="1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/>
    </xf>
    <xf numFmtId="0" fontId="8" fillId="0" borderId="10" xfId="0" applyFont="1" applyBorder="1"/>
    <xf numFmtId="166" fontId="8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44" fontId="8" fillId="0" borderId="10" xfId="0" applyNumberFormat="1" applyFont="1" applyBorder="1"/>
    <xf numFmtId="0" fontId="23" fillId="6" borderId="0" xfId="1" applyFont="1" applyFill="1" applyAlignment="1">
      <alignment horizontal="left" vertical="top" wrapText="1"/>
    </xf>
    <xf numFmtId="3" fontId="7" fillId="0" borderId="3" xfId="0" applyNumberFormat="1" applyFont="1" applyBorder="1" applyAlignment="1">
      <alignment horizontal="center"/>
    </xf>
    <xf numFmtId="1" fontId="13" fillId="0" borderId="0" xfId="0" applyNumberFormat="1" applyFont="1" applyProtection="1">
      <protection locked="0"/>
    </xf>
    <xf numFmtId="2" fontId="11" fillId="8" borderId="0" xfId="0" applyNumberFormat="1" applyFont="1" applyFill="1" applyAlignment="1">
      <alignment horizontal="center"/>
    </xf>
    <xf numFmtId="0" fontId="11" fillId="2" borderId="7" xfId="0" applyFont="1" applyFill="1" applyBorder="1"/>
    <xf numFmtId="0" fontId="16" fillId="2" borderId="3" xfId="1" applyFont="1" applyFill="1" applyBorder="1" applyAlignment="1">
      <alignment horizontal="left"/>
    </xf>
    <xf numFmtId="0" fontId="16" fillId="2" borderId="1" xfId="1" applyFont="1" applyFill="1" applyBorder="1" applyAlignment="1">
      <alignment horizontal="left"/>
    </xf>
    <xf numFmtId="0" fontId="16" fillId="2" borderId="2" xfId="1" applyFont="1" applyFill="1" applyBorder="1" applyAlignment="1">
      <alignment horizontal="left"/>
    </xf>
    <xf numFmtId="0" fontId="13" fillId="0" borderId="10" xfId="0" applyFont="1" applyBorder="1" applyAlignment="1">
      <alignment horizontal="left" wrapText="1"/>
    </xf>
    <xf numFmtId="2" fontId="13" fillId="0" borderId="10" xfId="0" applyNumberFormat="1" applyFont="1" applyBorder="1"/>
    <xf numFmtId="166" fontId="13" fillId="0" borderId="10" xfId="0" applyNumberFormat="1" applyFont="1" applyBorder="1" applyAlignment="1">
      <alignment horizontal="center"/>
    </xf>
    <xf numFmtId="0" fontId="7" fillId="9" borderId="0" xfId="0" applyFont="1" applyFill="1"/>
    <xf numFmtId="3" fontId="16" fillId="5" borderId="7" xfId="1" applyNumberFormat="1" applyFont="1" applyFill="1" applyBorder="1" applyAlignment="1">
      <alignment horizontal="center"/>
    </xf>
    <xf numFmtId="3" fontId="16" fillId="5" borderId="3" xfId="1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/>
    </xf>
    <xf numFmtId="168" fontId="22" fillId="2" borderId="10" xfId="0" applyNumberFormat="1" applyFont="1" applyFill="1" applyBorder="1" applyAlignment="1">
      <alignment horizontal="center" wrapText="1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3" xfId="0" applyFont="1" applyFill="1" applyBorder="1"/>
    <xf numFmtId="0" fontId="8" fillId="2" borderId="10" xfId="0" applyFont="1" applyFill="1" applyBorder="1" applyAlignment="1">
      <alignment horizontal="left"/>
    </xf>
    <xf numFmtId="0" fontId="13" fillId="4" borderId="3" xfId="0" applyFont="1" applyFill="1" applyBorder="1"/>
    <xf numFmtId="0" fontId="2" fillId="0" borderId="4" xfId="1" applyBorder="1"/>
    <xf numFmtId="0" fontId="2" fillId="0" borderId="6" xfId="1" applyBorder="1"/>
    <xf numFmtId="0" fontId="2" fillId="0" borderId="6" xfId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0" xfId="0" applyFont="1" applyBorder="1"/>
    <xf numFmtId="0" fontId="7" fillId="0" borderId="1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6" fillId="0" borderId="1" xfId="1" applyFont="1" applyBorder="1" applyAlignment="1" applyProtection="1">
      <alignment horizontal="center"/>
      <protection locked="0"/>
    </xf>
    <xf numFmtId="0" fontId="16" fillId="0" borderId="7" xfId="1" applyFont="1" applyBorder="1" applyAlignment="1" applyProtection="1">
      <alignment horizontal="center"/>
      <protection locked="0"/>
    </xf>
    <xf numFmtId="0" fontId="15" fillId="6" borderId="3" xfId="1" applyFont="1" applyFill="1" applyBorder="1"/>
    <xf numFmtId="0" fontId="13" fillId="4" borderId="6" xfId="1" applyFont="1" applyFill="1" applyBorder="1" applyAlignment="1">
      <alignment horizontal="left"/>
    </xf>
    <xf numFmtId="0" fontId="16" fillId="4" borderId="2" xfId="1" applyFont="1" applyFill="1" applyBorder="1" applyAlignment="1">
      <alignment horizontal="left"/>
    </xf>
    <xf numFmtId="0" fontId="16" fillId="4" borderId="2" xfId="1" applyFont="1" applyFill="1" applyBorder="1" applyAlignment="1">
      <alignment horizontal="left" vertical="center"/>
    </xf>
    <xf numFmtId="0" fontId="13" fillId="4" borderId="2" xfId="1" applyFont="1" applyFill="1" applyBorder="1" applyAlignment="1">
      <alignment horizontal="left"/>
    </xf>
    <xf numFmtId="0" fontId="16" fillId="10" borderId="9" xfId="0" applyFont="1" applyFill="1" applyBorder="1" applyAlignment="1" applyProtection="1">
      <alignment horizontal="center"/>
      <protection locked="0"/>
    </xf>
    <xf numFmtId="0" fontId="13" fillId="7" borderId="7" xfId="0" applyFont="1" applyFill="1" applyBorder="1" applyAlignment="1" applyProtection="1">
      <alignment horizontal="center"/>
      <protection locked="0"/>
    </xf>
    <xf numFmtId="0" fontId="13" fillId="7" borderId="2" xfId="0" applyFont="1" applyFill="1" applyBorder="1" applyAlignment="1" applyProtection="1">
      <alignment horizontal="center"/>
      <protection locked="0"/>
    </xf>
    <xf numFmtId="0" fontId="16" fillId="4" borderId="1" xfId="1" applyFont="1" applyFill="1" applyBorder="1" applyAlignment="1">
      <alignment horizontal="left"/>
    </xf>
    <xf numFmtId="2" fontId="11" fillId="0" borderId="14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2" fontId="11" fillId="0" borderId="15" xfId="0" applyNumberFormat="1" applyFont="1" applyBorder="1" applyAlignment="1">
      <alignment horizontal="center"/>
    </xf>
    <xf numFmtId="164" fontId="2" fillId="6" borderId="0" xfId="1" applyNumberFormat="1" applyFill="1"/>
    <xf numFmtId="3" fontId="2" fillId="6" borderId="0" xfId="1" applyNumberFormat="1" applyFill="1" applyAlignment="1">
      <alignment horizontal="center"/>
    </xf>
    <xf numFmtId="0" fontId="14" fillId="0" borderId="0" xfId="1" applyFont="1"/>
    <xf numFmtId="0" fontId="22" fillId="2" borderId="10" xfId="0" applyFont="1" applyFill="1" applyBorder="1" applyAlignment="1">
      <alignment horizontal="center" wrapText="1"/>
    </xf>
    <xf numFmtId="9" fontId="16" fillId="0" borderId="1" xfId="4" applyFont="1" applyBorder="1" applyAlignment="1" applyProtection="1">
      <alignment horizontal="center"/>
    </xf>
    <xf numFmtId="9" fontId="16" fillId="0" borderId="1" xfId="4" applyFont="1" applyFill="1" applyBorder="1" applyAlignment="1" applyProtection="1">
      <alignment horizontal="center"/>
    </xf>
    <xf numFmtId="9" fontId="18" fillId="0" borderId="1" xfId="4" applyFont="1" applyFill="1" applyBorder="1" applyAlignment="1" applyProtection="1">
      <alignment horizontal="center"/>
    </xf>
    <xf numFmtId="9" fontId="16" fillId="0" borderId="2" xfId="4" applyFont="1" applyBorder="1" applyAlignment="1" applyProtection="1">
      <alignment horizontal="center"/>
    </xf>
    <xf numFmtId="9" fontId="16" fillId="0" borderId="2" xfId="4" applyFont="1" applyFill="1" applyBorder="1" applyAlignment="1" applyProtection="1">
      <alignment horizontal="center"/>
    </xf>
    <xf numFmtId="9" fontId="18" fillId="0" borderId="2" xfId="4" applyFont="1" applyFill="1" applyBorder="1" applyAlignment="1" applyProtection="1">
      <alignment horizontal="center"/>
    </xf>
    <xf numFmtId="0" fontId="16" fillId="7" borderId="6" xfId="1" applyFont="1" applyFill="1" applyBorder="1" applyAlignment="1" applyProtection="1">
      <alignment horizontal="left"/>
      <protection locked="0"/>
    </xf>
    <xf numFmtId="0" fontId="2" fillId="0" borderId="5" xfId="1" applyBorder="1"/>
    <xf numFmtId="0" fontId="2" fillId="0" borderId="7" xfId="1" applyBorder="1"/>
    <xf numFmtId="0" fontId="2" fillId="6" borderId="0" xfId="1" applyFill="1" applyAlignment="1">
      <alignment horizontal="center"/>
    </xf>
    <xf numFmtId="0" fontId="2" fillId="6" borderId="0" xfId="1" applyFill="1"/>
    <xf numFmtId="0" fontId="2" fillId="0" borderId="7" xfId="1" applyBorder="1" applyAlignment="1">
      <alignment horizontal="left" vertical="center"/>
    </xf>
    <xf numFmtId="2" fontId="2" fillId="6" borderId="0" xfId="1" applyNumberFormat="1" applyFill="1" applyAlignment="1">
      <alignment horizontal="center"/>
    </xf>
    <xf numFmtId="0" fontId="2" fillId="0" borderId="0" xfId="1"/>
    <xf numFmtId="168" fontId="1" fillId="2" borderId="10" xfId="0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3" fillId="6" borderId="0" xfId="1" applyFont="1" applyFill="1" applyAlignment="1">
      <alignment horizontal="left" vertical="top" wrapText="1"/>
    </xf>
    <xf numFmtId="0" fontId="13" fillId="0" borderId="10" xfId="0" applyFont="1" applyBorder="1" applyAlignment="1" applyProtection="1">
      <alignment horizontal="center"/>
      <protection locked="0"/>
    </xf>
    <xf numFmtId="167" fontId="12" fillId="6" borderId="10" xfId="0" applyNumberFormat="1" applyFont="1" applyFill="1" applyBorder="1" applyAlignment="1">
      <alignment horizontal="center"/>
    </xf>
    <xf numFmtId="0" fontId="15" fillId="2" borderId="11" xfId="1" applyFont="1" applyFill="1" applyBorder="1" applyAlignment="1">
      <alignment horizontal="center"/>
    </xf>
    <xf numFmtId="0" fontId="15" fillId="2" borderId="12" xfId="1" applyFont="1" applyFill="1" applyBorder="1" applyAlignment="1">
      <alignment horizontal="center"/>
    </xf>
    <xf numFmtId="0" fontId="15" fillId="2" borderId="13" xfId="1" applyFont="1" applyFill="1" applyBorder="1" applyAlignment="1">
      <alignment horizontal="center"/>
    </xf>
    <xf numFmtId="0" fontId="15" fillId="2" borderId="4" xfId="1" applyFont="1" applyFill="1" applyBorder="1" applyAlignment="1">
      <alignment horizontal="center"/>
    </xf>
    <xf numFmtId="0" fontId="15" fillId="2" borderId="14" xfId="1" applyFont="1" applyFill="1" applyBorder="1" applyAlignment="1">
      <alignment horizontal="center"/>
    </xf>
    <xf numFmtId="0" fontId="15" fillId="2" borderId="5" xfId="1" applyFont="1" applyFill="1" applyBorder="1" applyAlignment="1">
      <alignment horizontal="center"/>
    </xf>
    <xf numFmtId="0" fontId="16" fillId="6" borderId="0" xfId="1" applyFont="1" applyFill="1" applyAlignment="1">
      <alignment horizontal="left" vertical="top" wrapText="1"/>
    </xf>
    <xf numFmtId="0" fontId="21" fillId="3" borderId="11" xfId="1" applyFont="1" applyFill="1" applyBorder="1" applyAlignment="1">
      <alignment horizontal="center"/>
    </xf>
    <xf numFmtId="0" fontId="21" fillId="3" borderId="12" xfId="1" applyFont="1" applyFill="1" applyBorder="1" applyAlignment="1">
      <alignment horizontal="center"/>
    </xf>
    <xf numFmtId="3" fontId="16" fillId="5" borderId="11" xfId="1" applyNumberFormat="1" applyFont="1" applyFill="1" applyBorder="1" applyAlignment="1">
      <alignment horizontal="center"/>
    </xf>
    <xf numFmtId="3" fontId="16" fillId="5" borderId="13" xfId="1" applyNumberFormat="1" applyFont="1" applyFill="1" applyBorder="1" applyAlignment="1">
      <alignment horizontal="center"/>
    </xf>
    <xf numFmtId="0" fontId="15" fillId="5" borderId="11" xfId="1" applyFont="1" applyFill="1" applyBorder="1" applyAlignment="1">
      <alignment horizontal="center"/>
    </xf>
    <xf numFmtId="0" fontId="15" fillId="5" borderId="12" xfId="1" applyFont="1" applyFill="1" applyBorder="1" applyAlignment="1">
      <alignment horizontal="center"/>
    </xf>
    <xf numFmtId="0" fontId="21" fillId="3" borderId="15" xfId="1" applyFont="1" applyFill="1" applyBorder="1" applyAlignment="1">
      <alignment horizontal="center"/>
    </xf>
    <xf numFmtId="0" fontId="21" fillId="3" borderId="9" xfId="1" applyFont="1" applyFill="1" applyBorder="1" applyAlignment="1">
      <alignment horizontal="center"/>
    </xf>
    <xf numFmtId="0" fontId="15" fillId="3" borderId="15" xfId="1" applyFont="1" applyFill="1" applyBorder="1" applyAlignment="1">
      <alignment horizontal="center"/>
    </xf>
    <xf numFmtId="0" fontId="15" fillId="3" borderId="9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38</xdr:row>
          <xdr:rowOff>82550</xdr:rowOff>
        </xdr:from>
        <xdr:to>
          <xdr:col>1</xdr:col>
          <xdr:colOff>1663700</xdr:colOff>
          <xdr:row>40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425450</xdr:colOff>
          <xdr:row>38</xdr:row>
          <xdr:rowOff>76200</xdr:rowOff>
        </xdr:from>
        <xdr:to>
          <xdr:col>3</xdr:col>
          <xdr:colOff>755650</xdr:colOff>
          <xdr:row>40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1758950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70</xdr:row>
          <xdr:rowOff>101600</xdr:rowOff>
        </xdr:from>
        <xdr:to>
          <xdr:col>1</xdr:col>
          <xdr:colOff>1663700</xdr:colOff>
          <xdr:row>72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101600</xdr:rowOff>
        </xdr:from>
        <xdr:to>
          <xdr:col>11</xdr:col>
          <xdr:colOff>1663700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794084</xdr:colOff>
      <xdr:row>0</xdr:row>
      <xdr:rowOff>21175</xdr:rowOff>
    </xdr:from>
    <xdr:to>
      <xdr:col>6</xdr:col>
      <xdr:colOff>682178</xdr:colOff>
      <xdr:row>7</xdr:row>
      <xdr:rowOff>16532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0568" y="21175"/>
          <a:ext cx="2759631" cy="1230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2342147</xdr:colOff>
      <xdr:row>0</xdr:row>
      <xdr:rowOff>32084</xdr:rowOff>
    </xdr:from>
    <xdr:to>
      <xdr:col>3</xdr:col>
      <xdr:colOff>770020</xdr:colOff>
      <xdr:row>7</xdr:row>
      <xdr:rowOff>8021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18778" t="21853" r="62668" b="60850"/>
        <a:stretch/>
      </xdr:blipFill>
      <xdr:spPr bwMode="auto">
        <a:xfrm>
          <a:off x="3513221" y="32084"/>
          <a:ext cx="2013283" cy="12111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5" x14ac:dyDescent="0.4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5" x14ac:dyDescent="0.45">
      <c r="A4" s="1"/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5" x14ac:dyDescent="0.45">
      <c r="A5" s="1"/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.5" x14ac:dyDescent="0.45">
      <c r="A6" s="1"/>
      <c r="B6" s="1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.5" x14ac:dyDescent="0.45">
      <c r="A7" s="1"/>
      <c r="B7" s="1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5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.5" x14ac:dyDescent="0.45">
      <c r="A9" s="1"/>
      <c r="B9" s="1" t="s">
        <v>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.5" x14ac:dyDescent="0.45">
      <c r="A10" s="1"/>
      <c r="B10" s="1" t="s">
        <v>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8.5" x14ac:dyDescent="0.45">
      <c r="A11" s="1"/>
      <c r="B11" s="1" t="s">
        <v>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.5" x14ac:dyDescent="0.45">
      <c r="A12" s="1"/>
      <c r="B12" s="1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8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.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.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8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110"/>
  <sheetViews>
    <sheetView showGridLines="0" tabSelected="1" zoomScale="95" zoomScaleNormal="95" workbookViewId="0">
      <selection activeCell="C10" sqref="C10:D10"/>
    </sheetView>
  </sheetViews>
  <sheetFormatPr defaultColWidth="9.1796875" defaultRowHeight="14" x14ac:dyDescent="0.3"/>
  <cols>
    <col min="1" max="1" width="17.1796875" style="4" customWidth="1"/>
    <col min="2" max="2" width="37.7265625" style="4" customWidth="1"/>
    <col min="3" max="3" width="14.7265625" style="4" customWidth="1"/>
    <col min="4" max="4" width="15" style="4" customWidth="1"/>
    <col min="5" max="7" width="13.453125" style="4" customWidth="1"/>
    <col min="8" max="8" width="13.1796875" style="4" customWidth="1"/>
    <col min="9" max="9" width="9.1796875" style="4" customWidth="1"/>
    <col min="10" max="10" width="17.81640625" style="4" customWidth="1"/>
    <col min="11" max="11" width="9.1796875" style="4" customWidth="1"/>
    <col min="12" max="12" width="32.81640625" style="4" hidden="1" customWidth="1"/>
    <col min="13" max="13" width="12" style="4" hidden="1" customWidth="1"/>
    <col min="14" max="14" width="23" style="4" hidden="1" customWidth="1"/>
    <col min="15" max="16" width="18.81640625" style="4" hidden="1" customWidth="1"/>
    <col min="17" max="17" width="20.1796875" style="4" hidden="1" customWidth="1"/>
    <col min="18" max="18" width="18.1796875" style="4" hidden="1" customWidth="1"/>
    <col min="19" max="19" width="21.7265625" style="4" hidden="1" customWidth="1"/>
    <col min="20" max="20" width="24.453125" style="4" hidden="1" customWidth="1"/>
    <col min="21" max="21" width="19.54296875" style="4" hidden="1" customWidth="1"/>
    <col min="22" max="22" width="17.453125" style="4" hidden="1" customWidth="1"/>
    <col min="23" max="23" width="13.1796875" style="4" hidden="1" customWidth="1"/>
    <col min="24" max="24" width="12.81640625" style="4" hidden="1" customWidth="1"/>
    <col min="25" max="25" width="14.81640625" style="4" hidden="1" customWidth="1"/>
    <col min="26" max="26" width="14.7265625" style="4" hidden="1" customWidth="1"/>
    <col min="27" max="27" width="14.453125" style="4" hidden="1" customWidth="1"/>
    <col min="28" max="29" width="12.26953125" style="4" hidden="1" customWidth="1"/>
    <col min="30" max="30" width="11.81640625" style="4" hidden="1" customWidth="1"/>
    <col min="31" max="31" width="11.54296875" style="5" hidden="1" customWidth="1"/>
    <col min="32" max="32" width="11.54296875" style="4" hidden="1" customWidth="1"/>
    <col min="33" max="33" width="11.81640625" style="4" hidden="1" customWidth="1"/>
    <col min="34" max="35" width="11.54296875" style="4" hidden="1" customWidth="1"/>
    <col min="36" max="16384" width="9.1796875" style="4"/>
  </cols>
  <sheetData>
    <row r="1" spans="1:37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AJ1" s="3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AJ3" s="3"/>
      <c r="AK3" s="3"/>
    </row>
    <row r="4" spans="1:3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6"/>
      <c r="AJ4" s="3"/>
      <c r="AK4" s="3"/>
    </row>
    <row r="5" spans="1:3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AJ5" s="3"/>
      <c r="AK5" s="3"/>
    </row>
    <row r="6" spans="1:3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AJ6" s="3"/>
      <c r="AK6" s="3"/>
    </row>
    <row r="7" spans="1:3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AJ7" s="3"/>
      <c r="AK7" s="3"/>
    </row>
    <row r="8" spans="1:37" ht="32.5" customHeight="1" x14ac:dyDescent="0.5">
      <c r="A8" s="3"/>
      <c r="B8" s="3"/>
      <c r="C8" s="3"/>
      <c r="D8" s="7" t="s">
        <v>9</v>
      </c>
      <c r="E8" s="8"/>
      <c r="F8" s="8"/>
      <c r="G8" s="8"/>
      <c r="H8" s="3"/>
      <c r="I8" s="3"/>
      <c r="J8" s="3"/>
      <c r="K8" s="3"/>
      <c r="N8" s="9" t="s">
        <v>10</v>
      </c>
      <c r="O8" s="10"/>
      <c r="P8" s="11" t="s">
        <v>11</v>
      </c>
      <c r="Q8" s="167" t="s">
        <v>12</v>
      </c>
      <c r="R8" s="167" t="s">
        <v>13</v>
      </c>
      <c r="S8" s="168" t="s">
        <v>14</v>
      </c>
      <c r="T8" s="12" t="str">
        <f>F27</f>
        <v>xxx</v>
      </c>
      <c r="U8" s="13" t="s">
        <v>15</v>
      </c>
      <c r="AJ8" s="3"/>
      <c r="AK8" s="3"/>
    </row>
    <row r="9" spans="1:37" ht="20" x14ac:dyDescent="0.4">
      <c r="A9" s="3"/>
      <c r="B9" s="3"/>
      <c r="C9" s="3"/>
      <c r="D9" s="8"/>
      <c r="E9" s="8"/>
      <c r="F9" s="8"/>
      <c r="G9" s="8"/>
      <c r="H9" s="3"/>
      <c r="I9" s="3"/>
      <c r="J9" s="3"/>
      <c r="K9" s="3"/>
      <c r="N9" s="160" t="s">
        <v>16</v>
      </c>
      <c r="O9" s="195"/>
      <c r="P9" s="14" t="s">
        <v>17</v>
      </c>
      <c r="Q9" s="15">
        <f>IF(OR(C28=0,C28="%"),0,C28)</f>
        <v>0.46</v>
      </c>
      <c r="R9" s="16">
        <f>IF(OR(D28=0,D28="%"),0,D28*0.437)</f>
        <v>0</v>
      </c>
      <c r="S9" s="17">
        <f>IF(OR(E28=0,E28="%"),0,E28*0.83)</f>
        <v>0</v>
      </c>
      <c r="T9" s="18">
        <f>IF(OR(F28=0,F28="%"),0,F28)</f>
        <v>0</v>
      </c>
      <c r="U9" s="19">
        <f>IF(G28&lt;=0,0,(G28/50))</f>
        <v>200</v>
      </c>
      <c r="AJ9" s="3"/>
      <c r="AK9" s="3"/>
    </row>
    <row r="10" spans="1:37" ht="18" x14ac:dyDescent="0.4">
      <c r="A10" s="3"/>
      <c r="B10" s="20" t="s">
        <v>18</v>
      </c>
      <c r="C10" s="215" t="s">
        <v>19</v>
      </c>
      <c r="D10" s="215"/>
      <c r="E10" s="21"/>
      <c r="F10" s="21"/>
      <c r="G10" s="3"/>
      <c r="H10" s="3"/>
      <c r="I10" s="3"/>
      <c r="J10" s="3"/>
      <c r="K10" s="3"/>
      <c r="N10" s="161" t="s">
        <v>20</v>
      </c>
      <c r="O10" s="196"/>
      <c r="P10" s="22" t="s">
        <v>21</v>
      </c>
      <c r="Q10" s="23">
        <f>IF(OR(C29=0,C29="%"),0,C29)</f>
        <v>0</v>
      </c>
      <c r="R10" s="24">
        <f>IF(OR(D29=0,D29="%"),0,D29*0.437)</f>
        <v>0.20102</v>
      </c>
      <c r="S10" s="25">
        <f>IF(OR(E29=0,E29="%"),0,E29*0.83)</f>
        <v>0</v>
      </c>
      <c r="T10" s="18">
        <f>IF(OR(F29=0,F29="%"),0,F29)</f>
        <v>0</v>
      </c>
      <c r="U10" s="19">
        <f>IF(G29&lt;=0,0,(G29/50))</f>
        <v>300</v>
      </c>
      <c r="AJ10" s="3"/>
      <c r="AK10" s="3"/>
    </row>
    <row r="11" spans="1:37" ht="18" x14ac:dyDescent="0.4">
      <c r="A11" s="3"/>
      <c r="B11" s="20" t="s">
        <v>22</v>
      </c>
      <c r="C11" s="215" t="s">
        <v>19</v>
      </c>
      <c r="D11" s="215"/>
      <c r="E11" s="197"/>
      <c r="F11" s="197"/>
      <c r="G11" s="3"/>
      <c r="H11" s="3"/>
      <c r="I11" s="3"/>
      <c r="J11" s="3"/>
      <c r="K11" s="3"/>
      <c r="N11" s="161" t="s">
        <v>23</v>
      </c>
      <c r="O11" s="196"/>
      <c r="P11" s="22" t="s">
        <v>24</v>
      </c>
      <c r="Q11" s="26">
        <f>IF(OR(C30=0,C30="%"),0,C30)</f>
        <v>0.18</v>
      </c>
      <c r="R11" s="24">
        <f>IF(OR(D30=0,D30="%"),0,D30*0.437)</f>
        <v>0.20102</v>
      </c>
      <c r="S11" s="25">
        <f>IF(OR(E30=0,E30="%"),0,E30*0.83)</f>
        <v>0</v>
      </c>
      <c r="T11" s="18">
        <f>IF(OR(F30=0,F30="%"),0,F30)</f>
        <v>0</v>
      </c>
      <c r="U11" s="19">
        <f>IF(G30&lt;=0,0,(G30/50))</f>
        <v>280</v>
      </c>
      <c r="AJ11" s="3"/>
      <c r="AK11" s="3"/>
    </row>
    <row r="12" spans="1:37" ht="18" x14ac:dyDescent="0.4">
      <c r="A12" s="3"/>
      <c r="B12" s="20" t="s">
        <v>25</v>
      </c>
      <c r="C12" s="216">
        <f ca="1">TODAY()</f>
        <v>46028</v>
      </c>
      <c r="D12" s="216"/>
      <c r="E12" s="198"/>
      <c r="F12" s="198"/>
      <c r="G12" s="3"/>
      <c r="H12" s="3"/>
      <c r="I12" s="3"/>
      <c r="J12" s="3"/>
      <c r="K12" s="3"/>
      <c r="N12" s="162" t="s">
        <v>26</v>
      </c>
      <c r="O12" s="199"/>
      <c r="P12" s="27" t="s">
        <v>27</v>
      </c>
      <c r="Q12" s="23">
        <f>IF(OR(C31=0,C31="%"),0,C31)</f>
        <v>0</v>
      </c>
      <c r="R12" s="24">
        <f>IF(OR(D31=0,D31="%"),0,D31*0.437)</f>
        <v>0</v>
      </c>
      <c r="S12" s="25">
        <f>IF(OR(E31=0,E31="%"),0,E31*0.83)</f>
        <v>0.49799999999999994</v>
      </c>
      <c r="T12" s="18">
        <f>IF(OR(F31=0,F31="%"),0,F31)</f>
        <v>0</v>
      </c>
      <c r="U12" s="19">
        <f>IF(G31&lt;=0,0,(G31/50))</f>
        <v>320</v>
      </c>
      <c r="AJ12" s="3"/>
      <c r="AK12" s="3"/>
    </row>
    <row r="13" spans="1:37" x14ac:dyDescent="0.3">
      <c r="A13" s="3"/>
      <c r="B13" s="3"/>
      <c r="C13" s="3"/>
      <c r="D13" s="3"/>
      <c r="E13" s="198"/>
      <c r="F13" s="198"/>
      <c r="G13" s="3"/>
      <c r="H13" s="3"/>
      <c r="I13" s="3"/>
      <c r="J13" s="3"/>
      <c r="K13" s="3"/>
      <c r="N13" s="28" t="str">
        <f>B32</f>
        <v>ZnSO4</v>
      </c>
      <c r="O13" s="29"/>
      <c r="P13" s="30" t="str">
        <f>LEFT(N13,4)</f>
        <v>ZnSO</v>
      </c>
      <c r="Q13" s="31">
        <f>IF(OR(C32=0,C32="%"),0,C32)</f>
        <v>0</v>
      </c>
      <c r="R13" s="32">
        <f>IF(OR(D32=0,D32="%"),0,D32*0.437)</f>
        <v>0</v>
      </c>
      <c r="S13" s="33">
        <f>IF(OR(E32=0,E32="%"),0,E32*0.83)</f>
        <v>0</v>
      </c>
      <c r="T13" s="18">
        <f>IF(OR(F32=0,F32="%"),0,F32)</f>
        <v>0.2</v>
      </c>
      <c r="U13" s="19">
        <f>IF(G32&lt;=0,0,(G32/50))</f>
        <v>3000</v>
      </c>
      <c r="AJ13" s="3"/>
      <c r="AK13" s="3"/>
    </row>
    <row r="14" spans="1:37" ht="18" x14ac:dyDescent="0.4">
      <c r="A14" s="3"/>
      <c r="B14" s="220" t="s">
        <v>28</v>
      </c>
      <c r="C14" s="221"/>
      <c r="D14" s="222"/>
      <c r="E14" s="198"/>
      <c r="F14" s="198"/>
      <c r="G14" s="3"/>
      <c r="H14" s="3"/>
      <c r="I14" s="3"/>
      <c r="J14" s="3"/>
      <c r="K14" s="3"/>
      <c r="P14" s="34"/>
      <c r="Q14" s="35"/>
      <c r="R14" s="35"/>
      <c r="S14" s="35"/>
      <c r="T14" s="36"/>
      <c r="AJ14" s="3"/>
      <c r="AK14" s="3"/>
    </row>
    <row r="15" spans="1:37" ht="72" x14ac:dyDescent="0.3">
      <c r="A15" s="3"/>
      <c r="B15" s="51" t="s">
        <v>29</v>
      </c>
      <c r="C15" s="37" t="s">
        <v>30</v>
      </c>
      <c r="D15" s="38" t="s">
        <v>31</v>
      </c>
      <c r="E15" s="198"/>
      <c r="F15" s="198"/>
      <c r="G15" s="3"/>
      <c r="H15" s="3"/>
      <c r="I15" s="3"/>
      <c r="J15" s="3"/>
      <c r="K15" s="3"/>
      <c r="AJ15" s="3"/>
      <c r="AK15" s="3"/>
    </row>
    <row r="16" spans="1:37" ht="17.5" x14ac:dyDescent="0.35">
      <c r="A16" s="3"/>
      <c r="B16" s="179" t="s">
        <v>32</v>
      </c>
      <c r="C16" s="170">
        <v>1</v>
      </c>
      <c r="D16" s="39">
        <v>500</v>
      </c>
      <c r="E16" s="198"/>
      <c r="F16" s="198"/>
      <c r="G16" s="3"/>
      <c r="H16" s="3"/>
      <c r="I16" s="3"/>
      <c r="J16" s="3"/>
      <c r="K16" s="3"/>
      <c r="N16" s="204" t="s">
        <v>33</v>
      </c>
      <c r="O16" s="205"/>
      <c r="P16" s="205"/>
      <c r="Q16" s="205"/>
      <c r="R16" s="205"/>
      <c r="S16" s="205"/>
      <c r="T16" s="205"/>
      <c r="U16" s="205"/>
      <c r="V16" s="205"/>
      <c r="W16" s="205"/>
      <c r="X16" s="206"/>
      <c r="Y16" s="204" t="s">
        <v>34</v>
      </c>
      <c r="Z16" s="205"/>
      <c r="AA16" s="205"/>
      <c r="AB16" s="206"/>
      <c r="AJ16" s="3"/>
      <c r="AK16" s="3"/>
    </row>
    <row r="17" spans="1:37" ht="17.5" x14ac:dyDescent="0.35">
      <c r="A17" s="3"/>
      <c r="B17" s="173" t="s">
        <v>35</v>
      </c>
      <c r="C17" s="170">
        <v>1</v>
      </c>
      <c r="D17" s="39">
        <v>125</v>
      </c>
      <c r="E17" s="198"/>
      <c r="F17" s="198"/>
      <c r="G17" s="3"/>
      <c r="H17" s="3"/>
      <c r="I17" s="3"/>
      <c r="J17" s="3"/>
      <c r="K17" s="3"/>
      <c r="N17" s="41" t="s">
        <v>29</v>
      </c>
      <c r="O17" s="22" t="s">
        <v>36</v>
      </c>
      <c r="P17" s="34" t="s">
        <v>37</v>
      </c>
      <c r="Q17" s="34" t="s">
        <v>38</v>
      </c>
      <c r="R17" s="34" t="s">
        <v>39</v>
      </c>
      <c r="S17" s="163" t="str">
        <f>P13&amp;" Min"</f>
        <v>ZnSO Min</v>
      </c>
      <c r="T17" s="14" t="s">
        <v>40</v>
      </c>
      <c r="U17" s="167" t="s">
        <v>41</v>
      </c>
      <c r="V17" s="167" t="s">
        <v>42</v>
      </c>
      <c r="W17" s="167" t="s">
        <v>43</v>
      </c>
      <c r="X17" s="164" t="str">
        <f>P13&amp;" Max"</f>
        <v>ZnSO Max</v>
      </c>
      <c r="Y17" s="165" t="s">
        <v>44</v>
      </c>
      <c r="Z17" s="12" t="s">
        <v>45</v>
      </c>
      <c r="AA17" s="12" t="s">
        <v>46</v>
      </c>
      <c r="AB17" s="166" t="s">
        <v>47</v>
      </c>
      <c r="AJ17" s="3"/>
      <c r="AK17" s="3"/>
    </row>
    <row r="18" spans="1:37" ht="17.5" x14ac:dyDescent="0.35">
      <c r="A18" s="3"/>
      <c r="B18" s="174" t="s">
        <v>48</v>
      </c>
      <c r="C18" s="170">
        <v>1</v>
      </c>
      <c r="D18" s="39">
        <v>100</v>
      </c>
      <c r="E18" s="3"/>
      <c r="F18" s="3"/>
      <c r="G18" s="3"/>
      <c r="H18" s="3"/>
      <c r="I18" s="3"/>
      <c r="J18" s="3"/>
      <c r="K18" s="3"/>
      <c r="N18" s="142" t="str">
        <f>B16</f>
        <v>Riz, lowland</v>
      </c>
      <c r="O18" s="43">
        <v>0</v>
      </c>
      <c r="P18" s="44">
        <v>0</v>
      </c>
      <c r="Q18" s="44">
        <v>0</v>
      </c>
      <c r="R18" s="44">
        <v>0</v>
      </c>
      <c r="S18" s="180">
        <v>0</v>
      </c>
      <c r="T18" s="47">
        <f>IF($G$28&lt;=0,0,200)</f>
        <v>200</v>
      </c>
      <c r="U18" s="47">
        <f>IF($G$29&lt;=0,0,100)</f>
        <v>100</v>
      </c>
      <c r="V18" s="47">
        <f t="shared" ref="V18:V26" si="0">IF($G$30&lt;=0,0,150)</f>
        <v>150</v>
      </c>
      <c r="W18" s="47">
        <f t="shared" ref="W18:W26" si="1">IF($G$31&lt;=0,0,100)</f>
        <v>100</v>
      </c>
      <c r="X18" s="47">
        <f t="shared" ref="X18:X26" si="2">IF($G$32&lt;=0,0,200)</f>
        <v>200</v>
      </c>
      <c r="Y18" s="48">
        <v>150</v>
      </c>
      <c r="Z18" s="48">
        <v>50</v>
      </c>
      <c r="AA18" s="48">
        <v>50</v>
      </c>
      <c r="AB18" s="140">
        <v>5</v>
      </c>
      <c r="AJ18" s="3"/>
      <c r="AK18" s="3"/>
    </row>
    <row r="19" spans="1:37" ht="17.5" x14ac:dyDescent="0.35">
      <c r="A19" s="3"/>
      <c r="B19" s="174" t="s">
        <v>49</v>
      </c>
      <c r="C19" s="170">
        <v>1</v>
      </c>
      <c r="D19" s="39">
        <v>400</v>
      </c>
      <c r="E19" s="198"/>
      <c r="F19" s="198"/>
      <c r="G19" s="3"/>
      <c r="H19" s="3"/>
      <c r="I19" s="3"/>
      <c r="J19" s="3"/>
      <c r="K19" s="3"/>
      <c r="N19" s="143" t="str">
        <f t="shared" ref="N19:N20" si="3">B17</f>
        <v>Maïs</v>
      </c>
      <c r="O19" s="181">
        <v>0</v>
      </c>
      <c r="P19" s="45">
        <v>0</v>
      </c>
      <c r="Q19" s="45">
        <v>0</v>
      </c>
      <c r="R19" s="45">
        <v>0</v>
      </c>
      <c r="S19" s="46">
        <v>0</v>
      </c>
      <c r="T19" s="47">
        <f>IF($G$28&lt;=0,0,200)</f>
        <v>200</v>
      </c>
      <c r="U19" s="47">
        <f>IF($G$29&lt;=0,0,100)</f>
        <v>100</v>
      </c>
      <c r="V19" s="47">
        <f t="shared" si="0"/>
        <v>150</v>
      </c>
      <c r="W19" s="47">
        <f t="shared" si="1"/>
        <v>100</v>
      </c>
      <c r="X19" s="47">
        <f t="shared" si="2"/>
        <v>200</v>
      </c>
      <c r="Y19" s="48">
        <v>150</v>
      </c>
      <c r="Z19" s="48">
        <v>50</v>
      </c>
      <c r="AA19" s="48">
        <v>50</v>
      </c>
      <c r="AB19" s="140">
        <v>5</v>
      </c>
      <c r="AJ19" s="3"/>
      <c r="AK19" s="3"/>
    </row>
    <row r="20" spans="1:37" ht="17.5" x14ac:dyDescent="0.35">
      <c r="A20" s="3"/>
      <c r="B20" s="173" t="s">
        <v>50</v>
      </c>
      <c r="C20" s="170">
        <v>1</v>
      </c>
      <c r="D20" s="39">
        <v>600</v>
      </c>
      <c r="E20" s="198"/>
      <c r="F20" s="198"/>
      <c r="G20" s="3"/>
      <c r="H20" s="3"/>
      <c r="I20" s="3"/>
      <c r="J20" s="3"/>
      <c r="K20" s="3"/>
      <c r="N20" s="143" t="str">
        <f t="shared" si="3"/>
        <v>Sorgho</v>
      </c>
      <c r="O20" s="45">
        <v>0</v>
      </c>
      <c r="P20" s="45">
        <v>0</v>
      </c>
      <c r="Q20" s="45">
        <v>0</v>
      </c>
      <c r="R20" s="45">
        <v>0</v>
      </c>
      <c r="S20" s="46">
        <v>0</v>
      </c>
      <c r="T20" s="47">
        <f>IF($G$28&lt;=0,0,150)</f>
        <v>150</v>
      </c>
      <c r="U20" s="47">
        <f>IF($G$29&lt;=0,0,100)</f>
        <v>100</v>
      </c>
      <c r="V20" s="47">
        <f t="shared" si="0"/>
        <v>150</v>
      </c>
      <c r="W20" s="47">
        <f t="shared" si="1"/>
        <v>100</v>
      </c>
      <c r="X20" s="47">
        <f t="shared" si="2"/>
        <v>200</v>
      </c>
      <c r="Y20" s="48">
        <v>120</v>
      </c>
      <c r="Z20" s="48">
        <v>50</v>
      </c>
      <c r="AA20" s="48">
        <v>50</v>
      </c>
      <c r="AB20" s="140">
        <v>5</v>
      </c>
      <c r="AJ20" s="3"/>
      <c r="AK20" s="3"/>
    </row>
    <row r="21" spans="1:37" ht="17.5" x14ac:dyDescent="0.35">
      <c r="A21" s="3"/>
      <c r="B21" s="173" t="s">
        <v>51</v>
      </c>
      <c r="C21" s="170">
        <v>1</v>
      </c>
      <c r="D21" s="39">
        <v>700</v>
      </c>
      <c r="E21" s="198"/>
      <c r="F21" s="198"/>
      <c r="G21" s="3"/>
      <c r="H21" s="3"/>
      <c r="I21" s="3"/>
      <c r="J21" s="3"/>
      <c r="K21" s="3"/>
      <c r="N21" s="143" t="str">
        <f t="shared" ref="N21:N26" si="4">B19</f>
        <v>Soja</v>
      </c>
      <c r="O21" s="45">
        <v>0</v>
      </c>
      <c r="P21" s="45">
        <v>0</v>
      </c>
      <c r="Q21" s="45">
        <v>0</v>
      </c>
      <c r="R21" s="45">
        <v>0</v>
      </c>
      <c r="S21" s="46">
        <v>0</v>
      </c>
      <c r="T21" s="47">
        <f>IF($G$28&lt;=0,0,0)</f>
        <v>0</v>
      </c>
      <c r="U21" s="47">
        <f>IF($G$29&lt;=0,0,120)</f>
        <v>120</v>
      </c>
      <c r="V21" s="47">
        <f t="shared" si="0"/>
        <v>150</v>
      </c>
      <c r="W21" s="47">
        <f t="shared" si="1"/>
        <v>100</v>
      </c>
      <c r="X21" s="47">
        <f t="shared" si="2"/>
        <v>200</v>
      </c>
      <c r="Y21" s="48">
        <v>120</v>
      </c>
      <c r="Z21" s="48">
        <v>50</v>
      </c>
      <c r="AA21" s="48">
        <v>50</v>
      </c>
      <c r="AB21" s="140">
        <v>5</v>
      </c>
      <c r="AJ21" s="3"/>
      <c r="AK21" s="3"/>
    </row>
    <row r="22" spans="1:37" ht="17.5" x14ac:dyDescent="0.35">
      <c r="A22" s="3"/>
      <c r="B22" s="175" t="s">
        <v>52</v>
      </c>
      <c r="C22" s="177">
        <v>2</v>
      </c>
      <c r="D22" s="49">
        <v>180</v>
      </c>
      <c r="E22" s="3"/>
      <c r="F22" s="3"/>
      <c r="G22" s="3"/>
      <c r="H22" s="3"/>
      <c r="I22" s="3"/>
      <c r="J22" s="3"/>
      <c r="K22" s="3"/>
      <c r="N22" s="143" t="str">
        <f t="shared" si="4"/>
        <v>Arachide</v>
      </c>
      <c r="O22" s="45">
        <v>0</v>
      </c>
      <c r="P22" s="45">
        <v>0</v>
      </c>
      <c r="Q22" s="45">
        <v>0</v>
      </c>
      <c r="R22" s="45">
        <v>0</v>
      </c>
      <c r="S22" s="46">
        <v>0</v>
      </c>
      <c r="T22" s="47">
        <f>IF($G$28&lt;=0,0,0)</f>
        <v>0</v>
      </c>
      <c r="U22" s="47">
        <f>IF($G$29&lt;=0,0,150)</f>
        <v>150</v>
      </c>
      <c r="V22" s="47">
        <f t="shared" si="0"/>
        <v>150</v>
      </c>
      <c r="W22" s="47">
        <f t="shared" si="1"/>
        <v>100</v>
      </c>
      <c r="X22" s="47">
        <f t="shared" si="2"/>
        <v>200</v>
      </c>
      <c r="Y22" s="48">
        <v>120</v>
      </c>
      <c r="Z22" s="48">
        <v>50</v>
      </c>
      <c r="AA22" s="48">
        <v>50</v>
      </c>
      <c r="AB22" s="140">
        <v>5</v>
      </c>
      <c r="AJ22" s="3"/>
      <c r="AK22" s="3"/>
    </row>
    <row r="23" spans="1:37" ht="17.5" x14ac:dyDescent="0.35">
      <c r="A23" s="3"/>
      <c r="B23" s="172" t="s">
        <v>53</v>
      </c>
      <c r="C23" s="178">
        <v>1</v>
      </c>
      <c r="D23" s="176">
        <v>550</v>
      </c>
      <c r="E23" s="3"/>
      <c r="F23" s="3"/>
      <c r="G23" s="3"/>
      <c r="H23" s="3"/>
      <c r="I23" s="3"/>
      <c r="J23" s="3"/>
      <c r="K23" s="3"/>
      <c r="N23" s="143" t="str">
        <f t="shared" si="4"/>
        <v>Manioc</v>
      </c>
      <c r="O23" s="45">
        <v>0</v>
      </c>
      <c r="P23" s="45">
        <v>0</v>
      </c>
      <c r="Q23" s="45">
        <v>0</v>
      </c>
      <c r="R23" s="45">
        <v>0</v>
      </c>
      <c r="S23" s="46">
        <v>0</v>
      </c>
      <c r="T23" s="47">
        <f>IF($G$28&lt;=0,0,100)</f>
        <v>100</v>
      </c>
      <c r="U23" s="47">
        <f>IF($G$29&lt;=0,0,150)</f>
        <v>150</v>
      </c>
      <c r="V23" s="47">
        <f t="shared" si="0"/>
        <v>150</v>
      </c>
      <c r="W23" s="47">
        <f t="shared" si="1"/>
        <v>100</v>
      </c>
      <c r="X23" s="47">
        <f t="shared" si="2"/>
        <v>200</v>
      </c>
      <c r="Y23" s="48">
        <v>100</v>
      </c>
      <c r="Z23" s="48">
        <v>50</v>
      </c>
      <c r="AA23" s="48">
        <v>50</v>
      </c>
      <c r="AB23" s="140">
        <v>5</v>
      </c>
      <c r="AJ23" s="3"/>
      <c r="AK23" s="3"/>
    </row>
    <row r="24" spans="1:37" ht="17.5" x14ac:dyDescent="0.35">
      <c r="A24" s="3"/>
      <c r="B24" s="159" t="s">
        <v>54</v>
      </c>
      <c r="C24" s="49">
        <v>1</v>
      </c>
      <c r="D24" s="176">
        <v>500</v>
      </c>
      <c r="E24" s="3"/>
      <c r="F24" s="3"/>
      <c r="G24" s="3"/>
      <c r="H24" s="3"/>
      <c r="I24" s="3"/>
      <c r="J24" s="3"/>
      <c r="K24" s="3"/>
      <c r="N24" s="143" t="str">
        <f t="shared" si="4"/>
        <v>Riz, upland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7">
        <f>IF($G$28&lt;=0,0,100)</f>
        <v>100</v>
      </c>
      <c r="U24" s="139">
        <f>IF($G$29&lt;=0,0,50)</f>
        <v>50</v>
      </c>
      <c r="V24" s="139">
        <f t="shared" si="0"/>
        <v>150</v>
      </c>
      <c r="W24" s="139">
        <f t="shared" si="1"/>
        <v>100</v>
      </c>
      <c r="X24" s="47">
        <f t="shared" si="2"/>
        <v>200</v>
      </c>
      <c r="Y24" s="48">
        <v>100</v>
      </c>
      <c r="Z24" s="48">
        <v>50</v>
      </c>
      <c r="AA24" s="48">
        <v>50</v>
      </c>
      <c r="AB24" s="140">
        <v>5</v>
      </c>
      <c r="AJ24" s="3"/>
      <c r="AK24" s="3"/>
    </row>
    <row r="25" spans="1:37" ht="41.25" customHeight="1" x14ac:dyDescent="0.4">
      <c r="A25" s="3"/>
      <c r="B25" s="171" t="s">
        <v>55</v>
      </c>
      <c r="C25" s="171">
        <f>SUM(C16:C24)</f>
        <v>10</v>
      </c>
      <c r="D25" s="50"/>
      <c r="E25" s="198"/>
      <c r="F25" s="198"/>
      <c r="G25" s="3"/>
      <c r="H25" s="3"/>
      <c r="I25" s="3"/>
      <c r="J25" s="3"/>
      <c r="K25" s="3"/>
      <c r="M25" s="4" t="s">
        <v>56</v>
      </c>
      <c r="N25" s="143" t="str">
        <f t="shared" si="4"/>
        <v>Sorgho-Arachide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7">
        <f>IF($G$28&lt;=0,0,150)</f>
        <v>150</v>
      </c>
      <c r="U25" s="139">
        <f>IF($G$29&lt;=0,0,200)</f>
        <v>200</v>
      </c>
      <c r="V25" s="139">
        <f t="shared" si="0"/>
        <v>150</v>
      </c>
      <c r="W25" s="139">
        <f t="shared" si="1"/>
        <v>100</v>
      </c>
      <c r="X25" s="47">
        <f t="shared" si="2"/>
        <v>200</v>
      </c>
      <c r="Y25" s="48">
        <v>100</v>
      </c>
      <c r="Z25" s="48">
        <v>50</v>
      </c>
      <c r="AA25" s="48">
        <v>50</v>
      </c>
      <c r="AB25" s="140">
        <v>5</v>
      </c>
      <c r="AJ25" s="3"/>
      <c r="AK25" s="3"/>
    </row>
    <row r="26" spans="1:37" ht="18" x14ac:dyDescent="0.4">
      <c r="A26" s="3"/>
      <c r="B26" s="217" t="s">
        <v>57</v>
      </c>
      <c r="C26" s="218"/>
      <c r="D26" s="218"/>
      <c r="E26" s="218"/>
      <c r="F26" s="218"/>
      <c r="G26" s="219"/>
      <c r="H26" s="3"/>
      <c r="I26" s="3"/>
      <c r="J26" s="3"/>
      <c r="K26" s="3"/>
      <c r="M26" s="4" t="s">
        <v>56</v>
      </c>
      <c r="N26" s="141" t="str">
        <f t="shared" si="4"/>
        <v>Maïs-Arachide</v>
      </c>
      <c r="O26" s="182">
        <v>0</v>
      </c>
      <c r="P26" s="183">
        <v>0</v>
      </c>
      <c r="Q26" s="183">
        <v>0</v>
      </c>
      <c r="R26" s="183">
        <v>0</v>
      </c>
      <c r="S26" s="183">
        <v>0</v>
      </c>
      <c r="T26" s="47">
        <f>IF($G$28&lt;=0,0,200)</f>
        <v>200</v>
      </c>
      <c r="U26" s="139">
        <f>IF($G$29&lt;=0,0,200)</f>
        <v>200</v>
      </c>
      <c r="V26" s="139">
        <f t="shared" si="0"/>
        <v>150</v>
      </c>
      <c r="W26" s="139">
        <f t="shared" si="1"/>
        <v>100</v>
      </c>
      <c r="X26" s="47">
        <f t="shared" si="2"/>
        <v>200</v>
      </c>
      <c r="Y26" s="48">
        <v>100</v>
      </c>
      <c r="Z26" s="48">
        <v>50</v>
      </c>
      <c r="AA26" s="48">
        <v>50</v>
      </c>
      <c r="AB26" s="140">
        <v>5</v>
      </c>
      <c r="AJ26" s="3"/>
      <c r="AK26" s="3"/>
    </row>
    <row r="27" spans="1:37" ht="39.65" customHeight="1" x14ac:dyDescent="0.3">
      <c r="A27" s="3"/>
      <c r="B27" s="51" t="s">
        <v>58</v>
      </c>
      <c r="C27" s="150" t="s">
        <v>59</v>
      </c>
      <c r="D27" s="151" t="s">
        <v>60</v>
      </c>
      <c r="E27" s="150" t="s">
        <v>61</v>
      </c>
      <c r="F27" s="52" t="s">
        <v>19</v>
      </c>
      <c r="G27" s="53" t="s">
        <v>62</v>
      </c>
      <c r="H27" s="3"/>
      <c r="I27" s="3"/>
      <c r="J27" s="3"/>
      <c r="K27" s="3"/>
      <c r="AJ27" s="3"/>
      <c r="AK27" s="3"/>
    </row>
    <row r="28" spans="1:37" ht="15" customHeight="1" x14ac:dyDescent="0.35">
      <c r="A28" s="3"/>
      <c r="B28" s="54" t="s">
        <v>16</v>
      </c>
      <c r="C28" s="188">
        <v>0.46</v>
      </c>
      <c r="D28" s="188">
        <v>0</v>
      </c>
      <c r="E28" s="189">
        <v>0</v>
      </c>
      <c r="F28" s="190">
        <v>0</v>
      </c>
      <c r="G28" s="169">
        <v>10000</v>
      </c>
      <c r="H28" s="3"/>
      <c r="I28" s="3"/>
      <c r="J28" s="3"/>
      <c r="K28" s="3"/>
      <c r="AJ28" s="3"/>
      <c r="AK28" s="3"/>
    </row>
    <row r="29" spans="1:37" ht="15" customHeight="1" x14ac:dyDescent="0.35">
      <c r="A29" s="3"/>
      <c r="B29" s="40" t="s">
        <v>63</v>
      </c>
      <c r="C29" s="191">
        <v>0</v>
      </c>
      <c r="D29" s="191">
        <v>0.46</v>
      </c>
      <c r="E29" s="192">
        <v>0</v>
      </c>
      <c r="F29" s="193">
        <v>0</v>
      </c>
      <c r="G29" s="39">
        <v>15000</v>
      </c>
      <c r="H29" s="3"/>
      <c r="I29" s="3"/>
      <c r="J29" s="3"/>
      <c r="K29" s="3"/>
      <c r="AJ29" s="3"/>
      <c r="AK29" s="3"/>
    </row>
    <row r="30" spans="1:37" ht="17.5" x14ac:dyDescent="0.35">
      <c r="A30" s="3"/>
      <c r="B30" s="40" t="s">
        <v>64</v>
      </c>
      <c r="C30" s="191">
        <v>0.18</v>
      </c>
      <c r="D30" s="191">
        <v>0.46</v>
      </c>
      <c r="E30" s="192">
        <v>0</v>
      </c>
      <c r="F30" s="193">
        <v>0</v>
      </c>
      <c r="G30" s="39">
        <v>14000</v>
      </c>
      <c r="H30" s="3"/>
      <c r="I30" s="3"/>
      <c r="J30" s="3"/>
      <c r="K30" s="3"/>
      <c r="L30" s="204" t="s">
        <v>65</v>
      </c>
      <c r="M30" s="205"/>
      <c r="N30" s="206"/>
      <c r="O30" s="211" t="s">
        <v>66</v>
      </c>
      <c r="P30" s="212"/>
      <c r="Q30" s="212"/>
      <c r="R30" s="212"/>
      <c r="S30" s="213"/>
      <c r="T30" s="203" t="s">
        <v>67</v>
      </c>
      <c r="U30" s="203"/>
      <c r="V30" s="203"/>
      <c r="W30" s="203"/>
      <c r="X30" s="203"/>
      <c r="Y30" s="203"/>
      <c r="Z30" s="203"/>
      <c r="AA30" s="203"/>
      <c r="AB30" s="203"/>
      <c r="AC30" s="203" t="s">
        <v>68</v>
      </c>
      <c r="AD30" s="203"/>
      <c r="AE30" s="203"/>
      <c r="AF30" s="203"/>
      <c r="AJ30" s="3"/>
      <c r="AK30" s="3"/>
    </row>
    <row r="31" spans="1:37" ht="16.5" customHeight="1" x14ac:dyDescent="0.35">
      <c r="A31" s="3"/>
      <c r="B31" s="40" t="s">
        <v>69</v>
      </c>
      <c r="C31" s="191">
        <v>0</v>
      </c>
      <c r="D31" s="191">
        <v>0</v>
      </c>
      <c r="E31" s="192">
        <v>0.6</v>
      </c>
      <c r="F31" s="193">
        <v>0</v>
      </c>
      <c r="G31" s="39">
        <v>16000</v>
      </c>
      <c r="H31" s="3"/>
      <c r="I31" s="3"/>
      <c r="J31" s="3"/>
      <c r="K31" s="3"/>
      <c r="L31" s="57" t="s">
        <v>29</v>
      </c>
      <c r="M31" s="58" t="s">
        <v>70</v>
      </c>
      <c r="N31" s="14" t="s">
        <v>71</v>
      </c>
      <c r="O31" s="59" t="s">
        <v>72</v>
      </c>
      <c r="P31" s="60" t="s">
        <v>73</v>
      </c>
      <c r="Q31" s="60" t="s">
        <v>74</v>
      </c>
      <c r="R31" s="60" t="s">
        <v>75</v>
      </c>
      <c r="S31" s="60" t="str">
        <f>P13&amp;" kg"</f>
        <v>ZnSO kg</v>
      </c>
      <c r="T31" s="58" t="s">
        <v>76</v>
      </c>
      <c r="U31" s="58" t="s">
        <v>77</v>
      </c>
      <c r="V31" s="58" t="s">
        <v>78</v>
      </c>
      <c r="W31" s="58" t="s">
        <v>79</v>
      </c>
      <c r="X31" s="58" t="s">
        <v>80</v>
      </c>
      <c r="Y31" s="58" t="str">
        <f>P13&amp; " kg (N)"</f>
        <v>ZnSO kg (N)</v>
      </c>
      <c r="Z31" s="58" t="str">
        <f>P13&amp;" kg (P)"</f>
        <v>ZnSO kg (P)</v>
      </c>
      <c r="AA31" s="58" t="str">
        <f>P13&amp;" kg (K)"</f>
        <v>ZnSO kg (K)</v>
      </c>
      <c r="AB31" s="61" t="s">
        <v>81</v>
      </c>
      <c r="AC31" s="58" t="s">
        <v>82</v>
      </c>
      <c r="AD31" s="58" t="s">
        <v>83</v>
      </c>
      <c r="AE31" s="62" t="s">
        <v>84</v>
      </c>
      <c r="AF31" s="61" t="s">
        <v>85</v>
      </c>
      <c r="AG31" s="34"/>
      <c r="AH31" s="34"/>
      <c r="AI31" s="34"/>
      <c r="AJ31" s="3"/>
      <c r="AK31" s="3"/>
    </row>
    <row r="32" spans="1:37" ht="19.5" customHeight="1" x14ac:dyDescent="0.35">
      <c r="A32" s="3"/>
      <c r="B32" s="194" t="s">
        <v>86</v>
      </c>
      <c r="C32" s="55">
        <v>0</v>
      </c>
      <c r="D32" s="55">
        <v>0</v>
      </c>
      <c r="E32" s="55">
        <v>0</v>
      </c>
      <c r="F32" s="55">
        <v>0.2</v>
      </c>
      <c r="G32" s="56">
        <v>150000</v>
      </c>
      <c r="H32" s="3"/>
      <c r="I32" s="3"/>
      <c r="J32" s="3"/>
      <c r="K32" s="3"/>
      <c r="L32" s="42" t="str">
        <f t="shared" ref="L32:L38" si="5">B16</f>
        <v>Riz, lowland</v>
      </c>
      <c r="M32" s="14">
        <f>C16</f>
        <v>1</v>
      </c>
      <c r="N32" s="11">
        <f t="shared" ref="N32:N38" si="6">IF(D16&lt;=0,0,D16)</f>
        <v>500</v>
      </c>
      <c r="O32" s="63">
        <v>141.5219423392337</v>
      </c>
      <c r="P32" s="64">
        <v>41.022779292554162</v>
      </c>
      <c r="Q32" s="64">
        <v>118.08309320514758</v>
      </c>
      <c r="R32" s="64">
        <v>39.501472003392934</v>
      </c>
      <c r="S32" s="64">
        <v>14.02198274153896</v>
      </c>
      <c r="T32" s="65">
        <f t="shared" ref="T32:T37" si="7">IF(M32&lt;=0,0,O32*$Q$9)</f>
        <v>65.100093476047505</v>
      </c>
      <c r="U32" s="66">
        <f>IF(M32&lt;=0,0,P32*$R$10)</f>
        <v>8.2463990933892379</v>
      </c>
      <c r="V32" s="66">
        <f>IF(M32&lt;=0,0,Q32*$Q$11)</f>
        <v>21.254956776926562</v>
      </c>
      <c r="W32" s="66">
        <f>IF(M32&lt;=0,0,Q32*$R$11)</f>
        <v>23.737063396098765</v>
      </c>
      <c r="X32" s="66">
        <f>IF(M32&lt;=0,0,R32*$S$12)</f>
        <v>19.671733057689679</v>
      </c>
      <c r="Y32" s="66">
        <f t="shared" ref="Y32:Y38" si="8">IF(OR(M32&lt;=0,$C$32=0,$C$32="%"),0,S32*$Q$13)</f>
        <v>0</v>
      </c>
      <c r="Z32" s="66">
        <f t="shared" ref="Z32:Z38" si="9">IF(OR(M32&lt;=0,$D$32=0,$D$32="%"),0,S32*$R$13)</f>
        <v>0</v>
      </c>
      <c r="AA32" s="66">
        <f t="shared" ref="AA32:AA38" si="10">IF(OR(M32&lt;=0,$E$32=0,$E$32="%"),0,S32*$S$13)</f>
        <v>0</v>
      </c>
      <c r="AB32" s="67">
        <f>IF(M32&lt;=0,0,S32*$T$13)</f>
        <v>2.8043965483077922</v>
      </c>
      <c r="AC32" s="68">
        <f>T32+V32+Y32</f>
        <v>86.355050252974067</v>
      </c>
      <c r="AD32" s="68">
        <f>U32+W32+Z32</f>
        <v>31.983462489488005</v>
      </c>
      <c r="AE32" s="69">
        <f>X32+AA32</f>
        <v>19.671733057689679</v>
      </c>
      <c r="AF32" s="70">
        <f>AB32</f>
        <v>2.8043965483077922</v>
      </c>
      <c r="AG32" s="71"/>
      <c r="AH32" s="71"/>
      <c r="AI32" s="71"/>
      <c r="AJ32" s="3"/>
      <c r="AK32" s="3"/>
    </row>
    <row r="33" spans="1:37" ht="19.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2" t="str">
        <f t="shared" si="5"/>
        <v>Maïs</v>
      </c>
      <c r="M33" s="14">
        <f t="shared" ref="M33:M40" si="11">C17</f>
        <v>1</v>
      </c>
      <c r="N33" s="72">
        <f t="shared" si="6"/>
        <v>125</v>
      </c>
      <c r="O33" s="63">
        <v>118.05418032997513</v>
      </c>
      <c r="P33" s="64">
        <v>15.5366054067241</v>
      </c>
      <c r="Q33" s="64">
        <v>83.413871125377341</v>
      </c>
      <c r="R33" s="64">
        <v>0</v>
      </c>
      <c r="S33" s="64">
        <v>8.2457109014844292</v>
      </c>
      <c r="T33" s="65">
        <f t="shared" si="7"/>
        <v>54.304922951788562</v>
      </c>
      <c r="U33" s="66">
        <f t="shared" ref="U33:U37" si="12">IF(M33&lt;=0,0,P33*$R$10)</f>
        <v>3.1231684188596787</v>
      </c>
      <c r="V33" s="66">
        <f>IF(M33&lt;=0,0,Q33*$Q$11)</f>
        <v>15.014496802567921</v>
      </c>
      <c r="W33" s="66">
        <f t="shared" ref="W33:W35" si="13">IF(M33&lt;=0,0,Q33*$R$11)</f>
        <v>16.767856373623353</v>
      </c>
      <c r="X33" s="66">
        <f t="shared" ref="X33:X35" si="14">IF(M33&lt;=0,0,R33*$S$12)</f>
        <v>0</v>
      </c>
      <c r="Y33" s="66">
        <f t="shared" si="8"/>
        <v>0</v>
      </c>
      <c r="Z33" s="66">
        <f t="shared" si="9"/>
        <v>0</v>
      </c>
      <c r="AA33" s="66">
        <f t="shared" si="10"/>
        <v>0</v>
      </c>
      <c r="AB33" s="73">
        <f>IF(M33&lt;=0,0,S33*$T$13)</f>
        <v>1.649142180296886</v>
      </c>
      <c r="AC33" s="68">
        <f t="shared" ref="AC33:AC38" si="15">T33+V33+Y33</f>
        <v>69.319419754356488</v>
      </c>
      <c r="AD33" s="68">
        <f t="shared" ref="AD33:AD38" si="16">U33+W33+Z33</f>
        <v>19.89102479248303</v>
      </c>
      <c r="AE33" s="69">
        <f t="shared" ref="AE33:AE38" si="17">X33+AA33</f>
        <v>0</v>
      </c>
      <c r="AF33" s="70">
        <f t="shared" ref="AF33:AF38" si="18">AB33</f>
        <v>1.649142180296886</v>
      </c>
      <c r="AG33" s="71"/>
      <c r="AH33" s="71"/>
      <c r="AI33" s="71"/>
      <c r="AJ33" s="3"/>
      <c r="AK33" s="3"/>
    </row>
    <row r="34" spans="1:37" ht="17.5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2" t="str">
        <f t="shared" si="5"/>
        <v>Sorgho</v>
      </c>
      <c r="M34" s="14">
        <f t="shared" si="11"/>
        <v>1</v>
      </c>
      <c r="N34" s="76">
        <f t="shared" si="6"/>
        <v>100</v>
      </c>
      <c r="O34" s="77">
        <v>61.549232485412077</v>
      </c>
      <c r="P34" s="78">
        <v>0</v>
      </c>
      <c r="Q34" s="78">
        <v>39.561987334498802</v>
      </c>
      <c r="R34" s="78">
        <v>19.492043828216183</v>
      </c>
      <c r="S34" s="78">
        <v>0</v>
      </c>
      <c r="T34" s="79">
        <f t="shared" si="7"/>
        <v>28.312646943289558</v>
      </c>
      <c r="U34" s="80">
        <f t="shared" si="12"/>
        <v>0</v>
      </c>
      <c r="V34" s="80">
        <f>IF(M34&lt;=0,0,Q34*$Q$11)</f>
        <v>7.1211577202097844</v>
      </c>
      <c r="W34" s="80">
        <f t="shared" si="13"/>
        <v>7.9527506939809491</v>
      </c>
      <c r="X34" s="80">
        <f t="shared" si="14"/>
        <v>9.707037826451657</v>
      </c>
      <c r="Y34" s="80">
        <f t="shared" si="8"/>
        <v>0</v>
      </c>
      <c r="Z34" s="80">
        <f t="shared" si="9"/>
        <v>0</v>
      </c>
      <c r="AA34" s="80">
        <f t="shared" si="10"/>
        <v>0</v>
      </c>
      <c r="AB34" s="73">
        <f>IF(M34&lt;=0,0,S34*$T$13)</f>
        <v>0</v>
      </c>
      <c r="AC34" s="68">
        <f t="shared" si="15"/>
        <v>35.433804663499345</v>
      </c>
      <c r="AD34" s="68">
        <f t="shared" si="16"/>
        <v>7.9527506939809491</v>
      </c>
      <c r="AE34" s="69">
        <f t="shared" si="17"/>
        <v>9.707037826451657</v>
      </c>
      <c r="AF34" s="70">
        <f t="shared" si="18"/>
        <v>0</v>
      </c>
      <c r="AG34" s="71"/>
      <c r="AH34" s="71"/>
      <c r="AI34" s="71"/>
      <c r="AJ34" s="3"/>
      <c r="AK34" s="3"/>
    </row>
    <row r="35" spans="1:37" ht="18" x14ac:dyDescent="0.4">
      <c r="A35" s="3"/>
      <c r="B35" s="217" t="s">
        <v>87</v>
      </c>
      <c r="C35" s="219"/>
      <c r="D35" s="3"/>
      <c r="E35" s="3"/>
      <c r="F35" s="3"/>
      <c r="G35" s="3"/>
      <c r="H35" s="3"/>
      <c r="I35" s="3"/>
      <c r="J35" s="3"/>
      <c r="K35" s="3"/>
      <c r="L35" s="42" t="str">
        <f t="shared" si="5"/>
        <v>Soja</v>
      </c>
      <c r="M35" s="14">
        <f t="shared" si="11"/>
        <v>1</v>
      </c>
      <c r="N35" s="72">
        <f t="shared" si="6"/>
        <v>400</v>
      </c>
      <c r="O35" s="77">
        <v>0</v>
      </c>
      <c r="P35" s="78">
        <v>18.65519508515677</v>
      </c>
      <c r="Q35" s="78">
        <v>23.068373409981611</v>
      </c>
      <c r="R35" s="78">
        <v>0</v>
      </c>
      <c r="S35" s="64">
        <v>0.59598657392003895</v>
      </c>
      <c r="T35" s="65">
        <f t="shared" si="7"/>
        <v>0</v>
      </c>
      <c r="U35" s="66">
        <f t="shared" si="12"/>
        <v>3.7500673160182139</v>
      </c>
      <c r="V35" s="66">
        <f>IF(M35&lt;=0,0,Q35*$Q$11)</f>
        <v>4.1523072137966901</v>
      </c>
      <c r="W35" s="66">
        <f t="shared" si="13"/>
        <v>4.6372044228745031</v>
      </c>
      <c r="X35" s="66">
        <f t="shared" si="14"/>
        <v>0</v>
      </c>
      <c r="Y35" s="66">
        <f t="shared" si="8"/>
        <v>0</v>
      </c>
      <c r="Z35" s="66">
        <f t="shared" si="9"/>
        <v>0</v>
      </c>
      <c r="AA35" s="66">
        <f t="shared" si="10"/>
        <v>0</v>
      </c>
      <c r="AB35" s="73">
        <f>IF(M35&lt;=0,0,S35*$T$13)</f>
        <v>0.1191973147840078</v>
      </c>
      <c r="AC35" s="68">
        <f t="shared" si="15"/>
        <v>4.1523072137966901</v>
      </c>
      <c r="AD35" s="68">
        <f t="shared" si="16"/>
        <v>8.3872717388927178</v>
      </c>
      <c r="AE35" s="69">
        <f t="shared" si="17"/>
        <v>0</v>
      </c>
      <c r="AF35" s="70">
        <f t="shared" si="18"/>
        <v>0.1191973147840078</v>
      </c>
      <c r="AG35" s="71"/>
      <c r="AH35" s="71"/>
      <c r="AI35" s="71"/>
      <c r="AJ35" s="3"/>
      <c r="AK35" s="3"/>
    </row>
    <row r="36" spans="1:37" ht="35" x14ac:dyDescent="0.35">
      <c r="A36" s="3"/>
      <c r="B36" s="74" t="s">
        <v>88</v>
      </c>
      <c r="C36" s="138">
        <v>1000000</v>
      </c>
      <c r="D36" s="75"/>
      <c r="E36" s="198"/>
      <c r="F36" s="198"/>
      <c r="G36" s="3"/>
      <c r="H36" s="3"/>
      <c r="I36" s="3"/>
      <c r="J36" s="3"/>
      <c r="K36" s="3"/>
      <c r="L36" s="42" t="str">
        <f t="shared" si="5"/>
        <v>Arachide</v>
      </c>
      <c r="M36" s="14">
        <f t="shared" si="11"/>
        <v>1</v>
      </c>
      <c r="N36" s="72">
        <f t="shared" si="6"/>
        <v>600</v>
      </c>
      <c r="O36" s="63">
        <v>0</v>
      </c>
      <c r="P36" s="64">
        <v>44.404626354955468</v>
      </c>
      <c r="Q36" s="64">
        <v>49.433514349105543</v>
      </c>
      <c r="R36" s="64">
        <v>53.387991465849787</v>
      </c>
      <c r="S36" s="64">
        <v>0</v>
      </c>
      <c r="T36" s="65">
        <f t="shared" si="7"/>
        <v>0</v>
      </c>
      <c r="U36" s="66">
        <f>IF(M36&lt;=0,0,P36*$R$10)</f>
        <v>8.9262179898731482</v>
      </c>
      <c r="V36" s="66">
        <f>IF(M36&lt;=0,0,Q36*$Q$11)</f>
        <v>8.8980325828389972</v>
      </c>
      <c r="W36" s="66">
        <f>IF(M36&lt;=0,0,Q36*$R$11)</f>
        <v>9.9371250544571961</v>
      </c>
      <c r="X36" s="66">
        <f>IF(M36&lt;=0,0,R36*$S$12)</f>
        <v>26.587219749993192</v>
      </c>
      <c r="Y36" s="66">
        <f t="shared" si="8"/>
        <v>0</v>
      </c>
      <c r="Z36" s="66">
        <f t="shared" si="9"/>
        <v>0</v>
      </c>
      <c r="AA36" s="66">
        <f t="shared" si="10"/>
        <v>0</v>
      </c>
      <c r="AB36" s="73">
        <f t="shared" ref="AB36:AB37" si="19">IF(M36&lt;=0,0,S36*$T$13)</f>
        <v>0</v>
      </c>
      <c r="AC36" s="68">
        <f t="shared" si="15"/>
        <v>8.8980325828389972</v>
      </c>
      <c r="AD36" s="68">
        <f t="shared" si="16"/>
        <v>18.863343044330342</v>
      </c>
      <c r="AE36" s="69">
        <f t="shared" si="17"/>
        <v>26.587219749993192</v>
      </c>
      <c r="AF36" s="70">
        <f t="shared" si="18"/>
        <v>0</v>
      </c>
      <c r="AG36" s="71"/>
      <c r="AH36" s="71"/>
      <c r="AI36" s="71"/>
      <c r="AJ36" s="3"/>
      <c r="AK36" s="3"/>
    </row>
    <row r="37" spans="1:37" ht="17.5" x14ac:dyDescent="0.35">
      <c r="A37" s="3"/>
      <c r="B37" s="223"/>
      <c r="C37" s="223"/>
      <c r="D37" s="81"/>
      <c r="E37" s="198"/>
      <c r="F37" s="198"/>
      <c r="G37" s="3"/>
      <c r="H37" s="3"/>
      <c r="I37" s="3"/>
      <c r="J37" s="3"/>
      <c r="K37" s="3"/>
      <c r="L37" s="42" t="str">
        <f t="shared" si="5"/>
        <v>Manioc</v>
      </c>
      <c r="M37" s="14">
        <f t="shared" si="11"/>
        <v>1</v>
      </c>
      <c r="N37" s="11">
        <f t="shared" si="6"/>
        <v>700</v>
      </c>
      <c r="O37" s="63">
        <v>100</v>
      </c>
      <c r="P37" s="64">
        <v>0</v>
      </c>
      <c r="Q37" s="64">
        <v>61.575670764186746</v>
      </c>
      <c r="R37" s="64">
        <v>100</v>
      </c>
      <c r="S37" s="64">
        <v>0</v>
      </c>
      <c r="T37" s="65">
        <f t="shared" si="7"/>
        <v>46</v>
      </c>
      <c r="U37" s="66">
        <f t="shared" si="12"/>
        <v>0</v>
      </c>
      <c r="V37" s="66">
        <f t="shared" ref="V37" si="20">IF(M37&lt;=0,0,Q37*$Q$11)</f>
        <v>11.083620737553614</v>
      </c>
      <c r="W37" s="66">
        <f>IF(M37&lt;=0,0,Q37*$R$11)</f>
        <v>12.37794133701682</v>
      </c>
      <c r="X37" s="66">
        <f>IF(M37&lt;=0,0,R37*$S$12)</f>
        <v>49.8</v>
      </c>
      <c r="Y37" s="66">
        <f t="shared" si="8"/>
        <v>0</v>
      </c>
      <c r="Z37" s="66">
        <f t="shared" si="9"/>
        <v>0</v>
      </c>
      <c r="AA37" s="66">
        <f t="shared" si="10"/>
        <v>0</v>
      </c>
      <c r="AB37" s="84">
        <f t="shared" si="19"/>
        <v>0</v>
      </c>
      <c r="AC37" s="68">
        <f t="shared" si="15"/>
        <v>57.083620737553616</v>
      </c>
      <c r="AD37" s="68">
        <f t="shared" si="16"/>
        <v>12.37794133701682</v>
      </c>
      <c r="AE37" s="69">
        <f t="shared" si="17"/>
        <v>49.8</v>
      </c>
      <c r="AF37" s="70">
        <f t="shared" si="18"/>
        <v>0</v>
      </c>
      <c r="AG37" s="71"/>
      <c r="AH37" s="71"/>
      <c r="AI37" s="71"/>
      <c r="AJ37" s="3"/>
      <c r="AK37" s="3"/>
    </row>
    <row r="38" spans="1:37" ht="17.5" x14ac:dyDescent="0.35">
      <c r="A38" s="3"/>
      <c r="B38" s="75"/>
      <c r="C38" s="82"/>
      <c r="D38" s="83"/>
      <c r="E38" s="198"/>
      <c r="F38" s="198"/>
      <c r="G38" s="3"/>
      <c r="H38" s="3"/>
      <c r="I38" s="3"/>
      <c r="J38" s="3"/>
      <c r="K38" s="3"/>
      <c r="L38" s="42" t="str">
        <f t="shared" si="5"/>
        <v>Riz, upland</v>
      </c>
      <c r="M38" s="14">
        <f t="shared" si="11"/>
        <v>2</v>
      </c>
      <c r="N38" s="72">
        <f t="shared" si="6"/>
        <v>180</v>
      </c>
      <c r="O38" s="85">
        <v>100</v>
      </c>
      <c r="P38" s="85">
        <v>0</v>
      </c>
      <c r="Q38" s="85">
        <v>16.387090187999892</v>
      </c>
      <c r="R38" s="85">
        <v>22.824212450220365</v>
      </c>
      <c r="S38" s="85">
        <v>0</v>
      </c>
      <c r="T38" s="85">
        <f>IF(M38&lt;=0,T440,O38*$Q$9)</f>
        <v>46</v>
      </c>
      <c r="U38" s="85">
        <f>IF(M38&lt;=0,0,P38*$R$10)</f>
        <v>0</v>
      </c>
      <c r="V38" s="85">
        <f>IF(M38&lt;=0,0,Q38*$Q$11)</f>
        <v>2.9496762338399805</v>
      </c>
      <c r="W38" s="85">
        <f>IF(M38&lt;=0,0,Q38*$R$11)</f>
        <v>3.2941328695917385</v>
      </c>
      <c r="X38" s="85">
        <f>IF(M38&lt;=0,0,R38*$S$12)</f>
        <v>11.366457800209741</v>
      </c>
      <c r="Y38" s="85">
        <f t="shared" si="8"/>
        <v>0</v>
      </c>
      <c r="Z38" s="85">
        <f t="shared" si="9"/>
        <v>0</v>
      </c>
      <c r="AA38" s="85">
        <f t="shared" si="10"/>
        <v>0</v>
      </c>
      <c r="AB38" s="67">
        <f>IF(M38&lt;=0,0,S38*$T$13)</f>
        <v>0</v>
      </c>
      <c r="AC38" s="68">
        <f t="shared" si="15"/>
        <v>48.94967623383998</v>
      </c>
      <c r="AD38" s="68">
        <f t="shared" si="16"/>
        <v>3.2941328695917385</v>
      </c>
      <c r="AE38" s="69">
        <f t="shared" si="17"/>
        <v>11.366457800209741</v>
      </c>
      <c r="AF38" s="70">
        <f t="shared" si="18"/>
        <v>0</v>
      </c>
      <c r="AG38" s="45"/>
      <c r="AH38" s="45"/>
      <c r="AI38" s="45"/>
      <c r="AJ38" s="3"/>
      <c r="AK38" s="3"/>
    </row>
    <row r="39" spans="1:37" ht="17.5" x14ac:dyDescent="0.35">
      <c r="A39" s="3"/>
      <c r="B39" s="82"/>
      <c r="C39" s="75"/>
      <c r="D39" s="75"/>
      <c r="E39" s="198"/>
      <c r="F39" s="198"/>
      <c r="G39" s="3"/>
      <c r="H39" s="3"/>
      <c r="I39" s="3"/>
      <c r="J39" s="3"/>
      <c r="K39" s="3"/>
      <c r="L39" s="42" t="str">
        <f>B23</f>
        <v>Sorgho-Arachide</v>
      </c>
      <c r="M39" s="14">
        <f t="shared" si="11"/>
        <v>1</v>
      </c>
      <c r="N39" s="76">
        <f t="shared" ref="N39:N40" si="21">IF(D23&lt;=0,0,D23)</f>
        <v>550</v>
      </c>
      <c r="O39" s="85">
        <v>145.07320788067818</v>
      </c>
      <c r="P39" s="85">
        <v>49.271057448982482</v>
      </c>
      <c r="Q39" s="85">
        <v>114.3573571862144</v>
      </c>
      <c r="R39" s="85">
        <v>0</v>
      </c>
      <c r="S39" s="85">
        <v>0</v>
      </c>
      <c r="T39" s="85">
        <f>IF(M39&lt;=0,T441,O39*$Q$9)</f>
        <v>66.733675625111971</v>
      </c>
      <c r="U39" s="85">
        <f>IF(M39&lt;=0,0,P39*$R$10)</f>
        <v>9.9044679683944583</v>
      </c>
      <c r="V39" s="85">
        <f t="shared" ref="V39:V40" si="22">IF(M39&lt;=0,0,Q39*$Q$11)</f>
        <v>20.584324293518591</v>
      </c>
      <c r="W39" s="85">
        <f t="shared" ref="W39:W40" si="23">IF(M39&lt;=0,0,Q39*$R$11)</f>
        <v>22.988115941572818</v>
      </c>
      <c r="X39" s="85">
        <f t="shared" ref="X39:X40" si="24">IF(M39&lt;=0,0,R39*$S$12)</f>
        <v>0</v>
      </c>
      <c r="Y39" s="85">
        <f t="shared" ref="Y39:Y40" si="25">IF(OR(M39&lt;=0,$C$32=0,$C$32="%"),0,S39*$Q$13)</f>
        <v>0</v>
      </c>
      <c r="Z39" s="85">
        <f t="shared" ref="Z39:Z40" si="26">IF(OR(M39&lt;=0,$D$32=0,$D$32="%"),0,S39*$R$13)</f>
        <v>0</v>
      </c>
      <c r="AA39" s="85">
        <f t="shared" ref="AA39:AA40" si="27">IF(OR(M39&lt;=0,$E$32=0,$E$32="%"),0,S39*$S$13)</f>
        <v>0</v>
      </c>
      <c r="AB39" s="67">
        <f t="shared" ref="AB39:AB40" si="28">IF(M39&lt;=0,0,S39*$T$13)</f>
        <v>0</v>
      </c>
      <c r="AC39" s="68">
        <f t="shared" ref="AC39:AC40" si="29">T39+V39+Y39</f>
        <v>87.317999918630562</v>
      </c>
      <c r="AD39" s="68">
        <f t="shared" ref="AD39:AD40" si="30">U39+W39+Z39</f>
        <v>32.892583909967279</v>
      </c>
      <c r="AE39" s="69">
        <f t="shared" ref="AE39:AE40" si="31">X39+AA39</f>
        <v>0</v>
      </c>
      <c r="AF39" s="70">
        <f t="shared" ref="AF39:AF40" si="32">AB39</f>
        <v>0</v>
      </c>
      <c r="AJ39" s="3"/>
      <c r="AK39" s="3"/>
    </row>
    <row r="40" spans="1:37" ht="17.5" x14ac:dyDescent="0.35">
      <c r="A40" s="3"/>
      <c r="B40" s="75"/>
      <c r="C40" s="75"/>
      <c r="D40" s="82"/>
      <c r="E40" s="198"/>
      <c r="F40" s="198"/>
      <c r="G40" s="3"/>
      <c r="H40" s="3"/>
      <c r="I40" s="3"/>
      <c r="J40" s="3"/>
      <c r="K40" s="3"/>
      <c r="L40" s="42" t="str">
        <f>B24</f>
        <v>Maïs-Arachide</v>
      </c>
      <c r="M40" s="14">
        <f t="shared" si="11"/>
        <v>1</v>
      </c>
      <c r="N40" s="72">
        <f t="shared" si="21"/>
        <v>500</v>
      </c>
      <c r="O40" s="85">
        <v>175.05891643641436</v>
      </c>
      <c r="P40" s="85">
        <v>8.3994571991768012</v>
      </c>
      <c r="Q40" s="85">
        <v>108.18276908085936</v>
      </c>
      <c r="R40" s="85">
        <v>0</v>
      </c>
      <c r="S40" s="85">
        <v>0</v>
      </c>
      <c r="T40" s="85">
        <f>IF(M40&lt;=0,T442,O40*$Q$9)</f>
        <v>80.527101560750609</v>
      </c>
      <c r="U40" s="85">
        <f t="shared" ref="U40" si="33">IF(M40&lt;=0,0,P40*$R$10)</f>
        <v>1.6884588861785206</v>
      </c>
      <c r="V40" s="85">
        <f t="shared" si="22"/>
        <v>19.472898434554683</v>
      </c>
      <c r="W40" s="85">
        <f t="shared" si="23"/>
        <v>21.74690024063435</v>
      </c>
      <c r="X40" s="85">
        <f t="shared" si="24"/>
        <v>0</v>
      </c>
      <c r="Y40" s="85">
        <f t="shared" si="25"/>
        <v>0</v>
      </c>
      <c r="Z40" s="85">
        <f t="shared" si="26"/>
        <v>0</v>
      </c>
      <c r="AA40" s="85">
        <f t="shared" si="27"/>
        <v>0</v>
      </c>
      <c r="AB40" s="67">
        <f t="shared" si="28"/>
        <v>0</v>
      </c>
      <c r="AC40" s="68">
        <f t="shared" si="29"/>
        <v>99.999999995305288</v>
      </c>
      <c r="AD40" s="68">
        <f t="shared" si="30"/>
        <v>23.43535912681287</v>
      </c>
      <c r="AE40" s="69">
        <f t="shared" si="31"/>
        <v>0</v>
      </c>
      <c r="AF40" s="70">
        <f t="shared" si="32"/>
        <v>0</v>
      </c>
      <c r="AJ40" s="3"/>
      <c r="AK40" s="3"/>
    </row>
    <row r="41" spans="1:37" ht="17.5" x14ac:dyDescent="0.35">
      <c r="A41" s="3"/>
      <c r="B41" s="75"/>
      <c r="C41" s="75"/>
      <c r="D41" s="75"/>
      <c r="E41" s="198"/>
      <c r="F41" s="198"/>
      <c r="G41" s="3"/>
      <c r="H41" s="3"/>
      <c r="I41" s="3"/>
      <c r="J41" s="3"/>
      <c r="K41" s="3"/>
      <c r="L41" s="86" t="s">
        <v>89</v>
      </c>
      <c r="M41" s="57"/>
      <c r="N41" s="58"/>
      <c r="O41" s="85"/>
      <c r="P41" s="85"/>
      <c r="Q41" s="85"/>
      <c r="R41" s="85"/>
      <c r="S41" s="85"/>
      <c r="T41" s="87"/>
      <c r="U41" s="87"/>
      <c r="V41" s="87"/>
      <c r="W41" s="87"/>
      <c r="X41" s="87"/>
      <c r="Y41" s="87"/>
      <c r="Z41" s="87"/>
      <c r="AA41" s="87"/>
      <c r="AB41" s="88"/>
      <c r="AC41" s="89"/>
      <c r="AD41" s="89"/>
      <c r="AE41" s="89"/>
      <c r="AF41" s="88"/>
      <c r="AJ41" s="3"/>
      <c r="AK41" s="3"/>
    </row>
    <row r="42" spans="1:37" ht="17.5" x14ac:dyDescent="0.35">
      <c r="A42" s="3"/>
      <c r="B42" s="75"/>
      <c r="C42" s="75"/>
      <c r="D42" s="75"/>
      <c r="E42" s="198"/>
      <c r="F42" s="198"/>
      <c r="G42" s="3"/>
      <c r="H42" s="3"/>
      <c r="I42" s="3"/>
      <c r="J42" s="3"/>
      <c r="K42" s="3"/>
      <c r="L42" s="57"/>
      <c r="M42" s="57"/>
      <c r="N42" s="57" t="s">
        <v>90</v>
      </c>
      <c r="O42" s="85">
        <f>$M$32*O32+$M$33*O33+$M$34*O34+$M$35*O35+$M$36*O36+$M$37*O37+O38*$M$38+$M$39*O39+$M$40*O40</f>
        <v>941.2574794717134</v>
      </c>
      <c r="P42" s="85">
        <f>$M$32*P32+$M$33*P33+$M$34*P34+$M$35*P35+$M$36*P36+$M$37*P37+P38*$M$38+$M$39*P39+$M$40*P40</f>
        <v>177.28972078754978</v>
      </c>
      <c r="Q42" s="85">
        <f>$M$32*Q32+$M$33*Q33+$M$34*Q34+$M$35*Q35+$M$36*Q36+$M$37*Q37+Q38*$M$38+$M$39*Q39+$M$40*Q40</f>
        <v>630.45081683137107</v>
      </c>
      <c r="R42" s="85">
        <f>$M$32*R32+$M$33*R33+$M$34*R34+$M$35*R35+$M$36*R36+$M$37*R37+R38*$M$38+$M$39*R39+$M$40*R40</f>
        <v>258.02993219789965</v>
      </c>
      <c r="S42" s="85">
        <f>$M$32*S32+$M$33*S33+$M$34*S34+$M$35*S35+$M$36*S36+$M$37*S37+S38*$M$38+$M$39*S39+$M$40*S40</f>
        <v>22.863680216943429</v>
      </c>
      <c r="AJ42" s="3"/>
      <c r="AK42" s="3"/>
    </row>
    <row r="43" spans="1:37" ht="18" x14ac:dyDescent="0.4">
      <c r="A43" s="3"/>
      <c r="B43" s="224" t="s">
        <v>91</v>
      </c>
      <c r="C43" s="225"/>
      <c r="D43" s="225"/>
      <c r="E43" s="225"/>
      <c r="F43" s="225"/>
      <c r="G43" s="225"/>
      <c r="H43" s="3"/>
      <c r="I43" s="3"/>
      <c r="J43" s="3"/>
      <c r="K43" s="3"/>
      <c r="AJ43" s="3"/>
      <c r="AK43" s="3"/>
    </row>
    <row r="44" spans="1:37" ht="18" x14ac:dyDescent="0.4">
      <c r="A44" s="3"/>
      <c r="B44" s="90"/>
      <c r="C44" s="228" t="s">
        <v>92</v>
      </c>
      <c r="D44" s="229"/>
      <c r="E44" s="229"/>
      <c r="F44" s="229"/>
      <c r="G44" s="229"/>
      <c r="H44" s="3"/>
      <c r="I44" s="3"/>
      <c r="J44" s="3"/>
      <c r="K44" s="3"/>
      <c r="AJ44" s="3"/>
      <c r="AK44" s="3"/>
    </row>
    <row r="45" spans="1:37" ht="18" x14ac:dyDescent="0.4">
      <c r="A45" s="3"/>
      <c r="B45" s="91" t="s">
        <v>29</v>
      </c>
      <c r="C45" s="92" t="s">
        <v>16</v>
      </c>
      <c r="D45" s="92" t="s">
        <v>21</v>
      </c>
      <c r="E45" s="92" t="s">
        <v>24</v>
      </c>
      <c r="F45" s="92" t="s">
        <v>93</v>
      </c>
      <c r="G45" s="92" t="str">
        <f>B32</f>
        <v>ZnSO4</v>
      </c>
      <c r="H45" s="3"/>
      <c r="I45" s="3"/>
      <c r="J45" s="3"/>
      <c r="K45" s="3"/>
      <c r="AJ45" s="3"/>
      <c r="AK45" s="3"/>
    </row>
    <row r="46" spans="1:37" ht="18" x14ac:dyDescent="0.35">
      <c r="A46" s="3"/>
      <c r="B46" s="91" t="str">
        <f>B16</f>
        <v>Riz, lowland</v>
      </c>
      <c r="C46" s="93">
        <f>O32</f>
        <v>141.5219423392337</v>
      </c>
      <c r="D46" s="93">
        <f>P32</f>
        <v>41.022779292554162</v>
      </c>
      <c r="E46" s="93">
        <f>Q32</f>
        <v>118.08309320514758</v>
      </c>
      <c r="F46" s="93">
        <f>R32</f>
        <v>39.501472003392934</v>
      </c>
      <c r="G46" s="93">
        <f>S32</f>
        <v>14.02198274153896</v>
      </c>
      <c r="H46" s="3"/>
      <c r="I46" s="3"/>
      <c r="J46" s="3"/>
      <c r="K46" s="3"/>
      <c r="L46" s="4" t="s">
        <v>94</v>
      </c>
      <c r="N46" s="204" t="s">
        <v>95</v>
      </c>
      <c r="O46" s="205"/>
      <c r="P46" s="205"/>
      <c r="Q46" s="205"/>
      <c r="R46" s="205"/>
      <c r="S46" s="205"/>
      <c r="T46" s="205"/>
      <c r="U46" s="213"/>
      <c r="Y46" s="34"/>
      <c r="AJ46" s="3"/>
      <c r="AK46" s="3"/>
    </row>
    <row r="47" spans="1:37" ht="15.75" customHeight="1" x14ac:dyDescent="0.35">
      <c r="A47" s="3"/>
      <c r="B47" s="91" t="str">
        <f>B17</f>
        <v>Maïs</v>
      </c>
      <c r="C47" s="93">
        <f t="shared" ref="C47:D54" si="34">O33</f>
        <v>118.05418032997513</v>
      </c>
      <c r="D47" s="93">
        <f t="shared" si="34"/>
        <v>15.5366054067241</v>
      </c>
      <c r="E47" s="93">
        <f t="shared" ref="E47:E54" si="35">Q33</f>
        <v>83.413871125377341</v>
      </c>
      <c r="F47" s="93">
        <f t="shared" ref="F47:F54" si="36">R33</f>
        <v>0</v>
      </c>
      <c r="G47" s="93">
        <f t="shared" ref="G47:G54" si="37">S33</f>
        <v>8.2457109014844292</v>
      </c>
      <c r="H47" s="3"/>
      <c r="I47" s="3"/>
      <c r="J47" s="3"/>
      <c r="K47" s="3"/>
      <c r="N47" s="94" t="s">
        <v>29</v>
      </c>
      <c r="O47" s="22" t="s">
        <v>96</v>
      </c>
      <c r="P47" s="34" t="s">
        <v>97</v>
      </c>
      <c r="Q47" s="34" t="s">
        <v>98</v>
      </c>
      <c r="R47" s="34" t="s">
        <v>99</v>
      </c>
      <c r="S47" s="95" t="str">
        <f>P13</f>
        <v>ZnSO</v>
      </c>
      <c r="T47" s="22" t="s">
        <v>100</v>
      </c>
      <c r="U47" s="58" t="s">
        <v>101</v>
      </c>
      <c r="Y47" s="34"/>
      <c r="AJ47" s="3"/>
      <c r="AK47" s="3"/>
    </row>
    <row r="48" spans="1:37" ht="18" x14ac:dyDescent="0.35">
      <c r="A48" s="3"/>
      <c r="B48" s="91" t="str">
        <f t="shared" ref="B48:B54" si="38">B18</f>
        <v>Sorgho</v>
      </c>
      <c r="C48" s="93">
        <f t="shared" si="34"/>
        <v>61.549232485412077</v>
      </c>
      <c r="D48" s="93">
        <f t="shared" si="34"/>
        <v>0</v>
      </c>
      <c r="E48" s="93">
        <f t="shared" si="35"/>
        <v>39.561987334498802</v>
      </c>
      <c r="F48" s="93">
        <f t="shared" si="36"/>
        <v>19.492043828216183</v>
      </c>
      <c r="G48" s="93">
        <f t="shared" si="37"/>
        <v>0</v>
      </c>
      <c r="H48" s="3"/>
      <c r="I48" s="3"/>
      <c r="J48" s="3"/>
      <c r="K48" s="3"/>
      <c r="L48" s="34"/>
      <c r="N48" s="42" t="str">
        <f t="shared" ref="N48:N56" si="39">B16</f>
        <v>Riz, lowland</v>
      </c>
      <c r="O48" s="43">
        <f t="shared" ref="O48:O54" si="40">O32*$U$9</f>
        <v>28304.38846784674</v>
      </c>
      <c r="P48" s="44">
        <f t="shared" ref="P48:P54" si="41">P32*$U$10</f>
        <v>12306.833787766249</v>
      </c>
      <c r="Q48" s="44">
        <f t="shared" ref="Q48:Q54" si="42">Q32*$U$11</f>
        <v>33063.266097441323</v>
      </c>
      <c r="R48" s="44">
        <f t="shared" ref="R48:R54" si="43">R32*$U$12</f>
        <v>12640.471041085739</v>
      </c>
      <c r="S48" s="44">
        <f t="shared" ref="S48:S54" si="44">S32*$U$13</f>
        <v>42065.948224616877</v>
      </c>
      <c r="T48" s="96">
        <f t="shared" ref="T48:T55" si="45">SUM(O48:S48)*M32</f>
        <v>128380.90761875692</v>
      </c>
      <c r="U48" s="208"/>
      <c r="Y48" s="34"/>
      <c r="AJ48" s="3"/>
      <c r="AK48" s="3"/>
    </row>
    <row r="49" spans="1:37" ht="18" x14ac:dyDescent="0.35">
      <c r="A49" s="3"/>
      <c r="B49" s="91" t="str">
        <f t="shared" si="38"/>
        <v>Soja</v>
      </c>
      <c r="C49" s="93">
        <f t="shared" si="34"/>
        <v>0</v>
      </c>
      <c r="D49" s="93">
        <f t="shared" si="34"/>
        <v>18.65519508515677</v>
      </c>
      <c r="E49" s="93">
        <f t="shared" si="35"/>
        <v>23.068373409981611</v>
      </c>
      <c r="F49" s="93">
        <f t="shared" si="36"/>
        <v>0</v>
      </c>
      <c r="G49" s="93">
        <f t="shared" si="37"/>
        <v>0.59598657392003895</v>
      </c>
      <c r="H49" s="3"/>
      <c r="I49" s="3"/>
      <c r="J49" s="3"/>
      <c r="K49" s="3"/>
      <c r="N49" s="42" t="str">
        <f t="shared" si="39"/>
        <v>Maïs</v>
      </c>
      <c r="O49" s="43">
        <f t="shared" si="40"/>
        <v>23610.836065995027</v>
      </c>
      <c r="P49" s="44">
        <f t="shared" si="41"/>
        <v>4660.9816220172297</v>
      </c>
      <c r="Q49" s="44">
        <f t="shared" si="42"/>
        <v>23355.883915105656</v>
      </c>
      <c r="R49" s="44">
        <f t="shared" si="43"/>
        <v>0</v>
      </c>
      <c r="S49" s="44">
        <f t="shared" si="44"/>
        <v>24737.132704453288</v>
      </c>
      <c r="T49" s="97">
        <f t="shared" si="45"/>
        <v>76364.834307571204</v>
      </c>
      <c r="U49" s="209"/>
      <c r="AJ49" s="3"/>
      <c r="AK49" s="3"/>
    </row>
    <row r="50" spans="1:37" ht="18" x14ac:dyDescent="0.35">
      <c r="A50" s="3"/>
      <c r="B50" s="91" t="str">
        <f t="shared" si="38"/>
        <v>Arachide</v>
      </c>
      <c r="C50" s="93">
        <f t="shared" si="34"/>
        <v>0</v>
      </c>
      <c r="D50" s="93">
        <f t="shared" si="34"/>
        <v>44.404626354955468</v>
      </c>
      <c r="E50" s="93">
        <f t="shared" si="35"/>
        <v>49.433514349105543</v>
      </c>
      <c r="F50" s="93">
        <f t="shared" si="36"/>
        <v>53.387991465849787</v>
      </c>
      <c r="G50" s="93">
        <f t="shared" si="37"/>
        <v>0</v>
      </c>
      <c r="H50" s="3"/>
      <c r="I50" s="3"/>
      <c r="J50" s="3"/>
      <c r="K50" s="3"/>
      <c r="N50" s="42" t="str">
        <f t="shared" si="39"/>
        <v>Sorgho</v>
      </c>
      <c r="O50" s="43">
        <f t="shared" si="40"/>
        <v>12309.846497082415</v>
      </c>
      <c r="P50" s="44">
        <f t="shared" si="41"/>
        <v>0</v>
      </c>
      <c r="Q50" s="44">
        <f t="shared" si="42"/>
        <v>11077.356453659664</v>
      </c>
      <c r="R50" s="44">
        <f t="shared" si="43"/>
        <v>6237.4540250291784</v>
      </c>
      <c r="S50" s="44">
        <f t="shared" si="44"/>
        <v>0</v>
      </c>
      <c r="T50" s="97">
        <f t="shared" si="45"/>
        <v>29624.65697577126</v>
      </c>
      <c r="U50" s="209"/>
      <c r="AJ50" s="3"/>
      <c r="AK50" s="3"/>
    </row>
    <row r="51" spans="1:37" ht="18" x14ac:dyDescent="0.35">
      <c r="A51" s="3"/>
      <c r="B51" s="91" t="str">
        <f t="shared" si="38"/>
        <v>Manioc</v>
      </c>
      <c r="C51" s="93">
        <f t="shared" si="34"/>
        <v>100</v>
      </c>
      <c r="D51" s="93">
        <f t="shared" si="34"/>
        <v>0</v>
      </c>
      <c r="E51" s="93">
        <f t="shared" si="35"/>
        <v>61.575670764186746</v>
      </c>
      <c r="F51" s="93">
        <f t="shared" si="36"/>
        <v>100</v>
      </c>
      <c r="G51" s="93">
        <f t="shared" si="37"/>
        <v>0</v>
      </c>
      <c r="H51" s="102"/>
      <c r="I51" s="3"/>
      <c r="J51" s="3"/>
      <c r="K51" s="3"/>
      <c r="N51" s="42" t="str">
        <f t="shared" si="39"/>
        <v>Soja</v>
      </c>
      <c r="O51" s="43">
        <f t="shared" si="40"/>
        <v>0</v>
      </c>
      <c r="P51" s="44">
        <f t="shared" si="41"/>
        <v>5596.5585255470305</v>
      </c>
      <c r="Q51" s="44">
        <f t="shared" si="42"/>
        <v>6459.1445547948506</v>
      </c>
      <c r="R51" s="44">
        <f t="shared" si="43"/>
        <v>0</v>
      </c>
      <c r="S51" s="44">
        <f t="shared" si="44"/>
        <v>1787.959721760117</v>
      </c>
      <c r="T51" s="97">
        <f t="shared" si="45"/>
        <v>13843.662802101999</v>
      </c>
      <c r="U51" s="209"/>
      <c r="AJ51" s="3"/>
      <c r="AK51" s="3"/>
    </row>
    <row r="52" spans="1:37" ht="18" x14ac:dyDescent="0.35">
      <c r="A52" s="3"/>
      <c r="B52" s="91" t="str">
        <f t="shared" si="38"/>
        <v>Riz, upland</v>
      </c>
      <c r="C52" s="98">
        <f t="shared" si="34"/>
        <v>100</v>
      </c>
      <c r="D52" s="98">
        <f t="shared" si="34"/>
        <v>0</v>
      </c>
      <c r="E52" s="98">
        <f t="shared" si="35"/>
        <v>16.387090187999892</v>
      </c>
      <c r="F52" s="99">
        <f t="shared" si="36"/>
        <v>22.824212450220365</v>
      </c>
      <c r="G52" s="93">
        <f t="shared" si="37"/>
        <v>0</v>
      </c>
      <c r="H52" s="102"/>
      <c r="I52" s="3"/>
      <c r="J52" s="3"/>
      <c r="K52" s="3"/>
      <c r="N52" s="42" t="str">
        <f t="shared" si="39"/>
        <v>Arachide</v>
      </c>
      <c r="O52" s="43">
        <f t="shared" si="40"/>
        <v>0</v>
      </c>
      <c r="P52" s="44">
        <f t="shared" si="41"/>
        <v>13321.38790648664</v>
      </c>
      <c r="Q52" s="44">
        <f t="shared" si="42"/>
        <v>13841.384017749551</v>
      </c>
      <c r="R52" s="44">
        <f t="shared" si="43"/>
        <v>17084.157269071933</v>
      </c>
      <c r="S52" s="44">
        <f t="shared" si="44"/>
        <v>0</v>
      </c>
      <c r="T52" s="97">
        <f t="shared" si="45"/>
        <v>44246.929193308126</v>
      </c>
      <c r="U52" s="209"/>
      <c r="W52" s="207"/>
      <c r="X52" s="207"/>
      <c r="AJ52" s="3"/>
      <c r="AK52" s="3"/>
    </row>
    <row r="53" spans="1:37" ht="17.5" customHeight="1" x14ac:dyDescent="0.35">
      <c r="A53" s="3"/>
      <c r="B53" s="91" t="str">
        <f t="shared" si="38"/>
        <v>Sorgho-Arachide</v>
      </c>
      <c r="C53" s="98">
        <f t="shared" si="34"/>
        <v>145.07320788067818</v>
      </c>
      <c r="D53" s="98">
        <f t="shared" si="34"/>
        <v>49.271057448982482</v>
      </c>
      <c r="E53" s="98">
        <f t="shared" si="35"/>
        <v>114.3573571862144</v>
      </c>
      <c r="F53" s="99">
        <f t="shared" si="36"/>
        <v>0</v>
      </c>
      <c r="G53" s="93">
        <f t="shared" si="37"/>
        <v>0</v>
      </c>
      <c r="H53" s="197"/>
      <c r="I53" s="3"/>
      <c r="J53" s="3"/>
      <c r="K53" s="3"/>
      <c r="N53" s="42" t="str">
        <f t="shared" si="39"/>
        <v>Manioc</v>
      </c>
      <c r="O53" s="43">
        <f t="shared" si="40"/>
        <v>20000</v>
      </c>
      <c r="P53" s="44">
        <f t="shared" si="41"/>
        <v>0</v>
      </c>
      <c r="Q53" s="44">
        <f t="shared" si="42"/>
        <v>17241.18781397229</v>
      </c>
      <c r="R53" s="44">
        <f t="shared" si="43"/>
        <v>32000</v>
      </c>
      <c r="S53" s="44">
        <f t="shared" si="44"/>
        <v>0</v>
      </c>
      <c r="T53" s="103">
        <f t="shared" si="45"/>
        <v>69241.187813972298</v>
      </c>
      <c r="U53" s="209"/>
      <c r="W53" s="34"/>
      <c r="X53" s="34"/>
      <c r="AJ53" s="3"/>
      <c r="AK53" s="3"/>
    </row>
    <row r="54" spans="1:37" ht="18" x14ac:dyDescent="0.35">
      <c r="A54" s="3"/>
      <c r="B54" s="91" t="str">
        <f t="shared" si="38"/>
        <v>Maïs-Arachide</v>
      </c>
      <c r="C54" s="98">
        <f t="shared" si="34"/>
        <v>175.05891643641436</v>
      </c>
      <c r="D54" s="98">
        <f t="shared" si="34"/>
        <v>8.3994571991768012</v>
      </c>
      <c r="E54" s="98">
        <f t="shared" si="35"/>
        <v>108.18276908085936</v>
      </c>
      <c r="F54" s="99">
        <f t="shared" si="36"/>
        <v>0</v>
      </c>
      <c r="G54" s="93">
        <f t="shared" si="37"/>
        <v>0</v>
      </c>
      <c r="H54" s="200"/>
      <c r="I54" s="3"/>
      <c r="J54" s="3"/>
      <c r="K54" s="3"/>
      <c r="N54" s="42" t="str">
        <f t="shared" si="39"/>
        <v>Riz, upland</v>
      </c>
      <c r="O54" s="43">
        <f t="shared" si="40"/>
        <v>20000</v>
      </c>
      <c r="P54" s="44">
        <f t="shared" si="41"/>
        <v>0</v>
      </c>
      <c r="Q54" s="44">
        <f t="shared" si="42"/>
        <v>4588.3852526399696</v>
      </c>
      <c r="R54" s="44">
        <f t="shared" si="43"/>
        <v>7303.7479840705164</v>
      </c>
      <c r="S54" s="44">
        <f t="shared" si="44"/>
        <v>0</v>
      </c>
      <c r="T54" s="103">
        <f t="shared" si="45"/>
        <v>63784.266473420976</v>
      </c>
      <c r="U54" s="210"/>
      <c r="W54" s="34"/>
      <c r="X54" s="34"/>
      <c r="Z54" s="34"/>
      <c r="AA54" s="34"/>
      <c r="AJ54" s="3"/>
      <c r="AK54" s="3"/>
    </row>
    <row r="55" spans="1:37" ht="18" x14ac:dyDescent="0.4">
      <c r="A55" s="3"/>
      <c r="B55" s="100" t="s">
        <v>102</v>
      </c>
      <c r="C55" s="101">
        <f>O42</f>
        <v>941.2574794717134</v>
      </c>
      <c r="D55" s="101">
        <f>P42</f>
        <v>177.28972078754978</v>
      </c>
      <c r="E55" s="101">
        <f t="shared" ref="E55:G55" si="46">Q42</f>
        <v>630.45081683137107</v>
      </c>
      <c r="F55" s="101">
        <f t="shared" si="46"/>
        <v>258.02993219789965</v>
      </c>
      <c r="G55" s="101">
        <f t="shared" si="46"/>
        <v>22.863680216943429</v>
      </c>
      <c r="H55" s="200"/>
      <c r="I55" s="3"/>
      <c r="J55" s="3"/>
      <c r="K55" s="3"/>
      <c r="N55" s="42" t="str">
        <f t="shared" si="39"/>
        <v>Sorgho-Arachide</v>
      </c>
      <c r="O55" s="43">
        <f t="shared" ref="O55" si="47">O39*$U$9</f>
        <v>29014.641576135637</v>
      </c>
      <c r="P55" s="44">
        <f t="shared" ref="P55:P56" si="48">P39*$U$10</f>
        <v>14781.317234694745</v>
      </c>
      <c r="Q55" s="44">
        <f t="shared" ref="Q55:Q56" si="49">Q39*$U$11</f>
        <v>32020.060012140031</v>
      </c>
      <c r="R55" s="44">
        <f t="shared" ref="R55:R56" si="50">R39*$U$12</f>
        <v>0</v>
      </c>
      <c r="S55" s="44">
        <f t="shared" ref="S55:S56" si="51">S39*$U$13</f>
        <v>0</v>
      </c>
      <c r="T55" s="103">
        <f t="shared" si="45"/>
        <v>75816.018822970407</v>
      </c>
      <c r="U55" s="137"/>
      <c r="W55" s="34"/>
      <c r="X55" s="34"/>
      <c r="Z55" s="34"/>
      <c r="AA55" s="34"/>
      <c r="AJ55" s="3"/>
      <c r="AK55" s="3"/>
    </row>
    <row r="56" spans="1:37" ht="18" x14ac:dyDescent="0.4">
      <c r="A56" s="3"/>
      <c r="B56" s="224" t="s">
        <v>103</v>
      </c>
      <c r="C56" s="232"/>
      <c r="D56" s="233"/>
      <c r="E56" s="3"/>
      <c r="F56" s="3"/>
      <c r="G56" s="3"/>
      <c r="H56" s="200"/>
      <c r="I56" s="3"/>
      <c r="J56" s="3"/>
      <c r="K56" s="3"/>
      <c r="N56" s="42" t="str">
        <f t="shared" si="39"/>
        <v>Maïs-Arachide</v>
      </c>
      <c r="O56" s="43">
        <f>O40*$U$9</f>
        <v>35011.783287282873</v>
      </c>
      <c r="P56" s="44">
        <f t="shared" si="48"/>
        <v>2519.8371597530404</v>
      </c>
      <c r="Q56" s="44">
        <f t="shared" si="49"/>
        <v>30291.175342640621</v>
      </c>
      <c r="R56" s="44">
        <f t="shared" si="50"/>
        <v>0</v>
      </c>
      <c r="S56" s="44">
        <f t="shared" si="51"/>
        <v>0</v>
      </c>
      <c r="T56" s="103">
        <f t="shared" ref="T56" si="52">SUM(O56:S56)*M40</f>
        <v>67822.795789676544</v>
      </c>
      <c r="U56" s="137"/>
      <c r="W56" s="34"/>
      <c r="X56" s="34"/>
      <c r="Z56" s="34"/>
      <c r="AA56" s="34"/>
      <c r="AJ56" s="3"/>
      <c r="AK56" s="3"/>
    </row>
    <row r="57" spans="1:37" ht="54" x14ac:dyDescent="0.35">
      <c r="A57" s="3"/>
      <c r="B57" s="91" t="s">
        <v>29</v>
      </c>
      <c r="C57" s="104" t="s">
        <v>104</v>
      </c>
      <c r="D57" s="105" t="s">
        <v>105</v>
      </c>
      <c r="E57" s="3"/>
      <c r="F57" s="3"/>
      <c r="G57" s="3"/>
      <c r="H57" s="200"/>
      <c r="I57" s="3"/>
      <c r="J57" s="3"/>
      <c r="K57" s="3"/>
      <c r="L57" s="106"/>
      <c r="M57" s="106"/>
      <c r="N57" s="144" t="s">
        <v>55</v>
      </c>
      <c r="O57" s="145">
        <f>SUM(O48:O56)</f>
        <v>168251.49589434272</v>
      </c>
      <c r="P57" s="145">
        <f>SUM(P48:P56)</f>
        <v>53186.916236264937</v>
      </c>
      <c r="Q57" s="145">
        <f>SUM(Q48:Q56)</f>
        <v>171937.84346014395</v>
      </c>
      <c r="R57" s="145">
        <f>SUM(R48:R56)</f>
        <v>75265.830319257366</v>
      </c>
      <c r="S57" s="145">
        <f>SUM(S48:S56)</f>
        <v>68591.040650830269</v>
      </c>
      <c r="T57" s="146">
        <f>T54+T53+T52+T51+T50+T49+T48+T55+T56</f>
        <v>569125.25979754981</v>
      </c>
      <c r="U57" s="86">
        <f>C36</f>
        <v>1000000</v>
      </c>
      <c r="Y57" s="34"/>
      <c r="AJ57" s="3"/>
      <c r="AK57" s="3"/>
    </row>
    <row r="58" spans="1:37" ht="18" x14ac:dyDescent="0.35">
      <c r="A58" s="3"/>
      <c r="B58" s="91" t="str">
        <f>B16</f>
        <v>Riz, lowland</v>
      </c>
      <c r="C58" s="108">
        <f>W64</f>
        <v>2738.4170217258161</v>
      </c>
      <c r="D58" s="148">
        <f>X64</f>
        <v>1240827.603244151</v>
      </c>
      <c r="E58" s="3"/>
      <c r="F58" s="3"/>
      <c r="G58" s="3"/>
      <c r="H58" s="200"/>
      <c r="I58" s="3"/>
      <c r="J58" s="3"/>
      <c r="K58" s="3"/>
      <c r="L58" s="106"/>
      <c r="M58" s="106"/>
      <c r="N58" s="106"/>
      <c r="Y58" s="109"/>
      <c r="AJ58" s="3"/>
      <c r="AK58" s="3"/>
    </row>
    <row r="59" spans="1:37" ht="18" x14ac:dyDescent="0.35">
      <c r="A59" s="3"/>
      <c r="B59" s="91" t="str">
        <f t="shared" ref="B59:B66" si="53">B17</f>
        <v>Maïs</v>
      </c>
      <c r="C59" s="108">
        <f>W68</f>
        <v>2624.8252230699864</v>
      </c>
      <c r="D59" s="148">
        <f>X68</f>
        <v>251738.31857617709</v>
      </c>
      <c r="E59" s="3"/>
      <c r="F59" s="3"/>
      <c r="G59" s="3"/>
      <c r="H59" s="200"/>
      <c r="I59" s="3"/>
      <c r="J59" s="3"/>
      <c r="K59" s="3"/>
      <c r="L59" s="106"/>
      <c r="M59" s="106"/>
      <c r="N59" s="106"/>
      <c r="Y59" s="109"/>
      <c r="AJ59" s="3"/>
      <c r="AK59" s="3"/>
    </row>
    <row r="60" spans="1:37" ht="18" x14ac:dyDescent="0.35">
      <c r="A60" s="3"/>
      <c r="B60" s="91" t="str">
        <f t="shared" si="53"/>
        <v>Sorgho</v>
      </c>
      <c r="C60" s="108">
        <f>W72</f>
        <v>730.18351371530059</v>
      </c>
      <c r="D60" s="148">
        <f>X72</f>
        <v>43393.694395758808</v>
      </c>
      <c r="E60" s="3"/>
      <c r="F60" s="3"/>
      <c r="G60" s="3"/>
      <c r="H60" s="3"/>
      <c r="I60" s="3"/>
      <c r="J60" s="3"/>
      <c r="K60" s="3"/>
      <c r="L60" s="106"/>
      <c r="M60" s="106"/>
      <c r="Y60" s="109"/>
      <c r="AJ60" s="3"/>
      <c r="AK60" s="3"/>
    </row>
    <row r="61" spans="1:37" ht="18" x14ac:dyDescent="0.35">
      <c r="A61" s="3"/>
      <c r="B61" s="91" t="str">
        <f t="shared" si="53"/>
        <v>Soja</v>
      </c>
      <c r="C61" s="108">
        <f>W76</f>
        <v>93.29720871083525</v>
      </c>
      <c r="D61" s="148">
        <f>X76</f>
        <v>23475.220682232095</v>
      </c>
      <c r="E61" s="3"/>
      <c r="F61" s="3"/>
      <c r="G61" s="3"/>
      <c r="H61" s="3"/>
      <c r="I61" s="3"/>
      <c r="J61" s="3"/>
      <c r="K61" s="3"/>
      <c r="Y61" s="109"/>
      <c r="AJ61" s="3"/>
      <c r="AK61" s="3"/>
    </row>
    <row r="62" spans="1:37" ht="18" x14ac:dyDescent="0.35">
      <c r="A62" s="3"/>
      <c r="B62" s="91" t="str">
        <f t="shared" si="53"/>
        <v>Arachide</v>
      </c>
      <c r="C62" s="108">
        <f>W80</f>
        <v>407.31846500543065</v>
      </c>
      <c r="D62" s="148">
        <f>X80</f>
        <v>200144.14980995032</v>
      </c>
      <c r="E62" s="3"/>
      <c r="F62" s="3"/>
      <c r="G62" s="3"/>
      <c r="H62" s="3"/>
      <c r="I62" s="3"/>
      <c r="J62" s="3"/>
      <c r="K62" s="3"/>
      <c r="L62" s="204" t="s">
        <v>106</v>
      </c>
      <c r="M62" s="205"/>
      <c r="N62" s="205"/>
      <c r="O62" s="205"/>
      <c r="P62" s="205"/>
      <c r="Q62" s="205"/>
      <c r="R62" s="206"/>
      <c r="S62" s="204" t="s">
        <v>107</v>
      </c>
      <c r="T62" s="205"/>
      <c r="U62" s="205"/>
      <c r="V62" s="205"/>
      <c r="W62" s="204" t="s">
        <v>108</v>
      </c>
      <c r="X62" s="206"/>
      <c r="AJ62" s="3"/>
      <c r="AK62" s="3"/>
    </row>
    <row r="63" spans="1:37" ht="18" x14ac:dyDescent="0.35">
      <c r="A63" s="3"/>
      <c r="B63" s="91" t="str">
        <f t="shared" si="53"/>
        <v>Manioc</v>
      </c>
      <c r="C63" s="108">
        <f>W84</f>
        <v>13000.825957438294</v>
      </c>
      <c r="D63" s="148">
        <f>X84</f>
        <v>9031336.9823928345</v>
      </c>
      <c r="E63" s="3"/>
      <c r="F63" s="3"/>
      <c r="G63" s="3"/>
      <c r="H63" s="102"/>
      <c r="I63" s="3"/>
      <c r="J63" s="3"/>
      <c r="K63" s="3"/>
      <c r="L63" s="57" t="s">
        <v>109</v>
      </c>
      <c r="M63" s="58" t="s">
        <v>110</v>
      </c>
      <c r="N63" s="58" t="s">
        <v>111</v>
      </c>
      <c r="O63" s="58" t="s">
        <v>112</v>
      </c>
      <c r="P63" s="57" t="s">
        <v>113</v>
      </c>
      <c r="Q63" s="58" t="s">
        <v>114</v>
      </c>
      <c r="R63" s="58" t="s">
        <v>115</v>
      </c>
      <c r="S63" s="58" t="s">
        <v>116</v>
      </c>
      <c r="T63" s="58" t="s">
        <v>117</v>
      </c>
      <c r="U63" s="58" t="s">
        <v>95</v>
      </c>
      <c r="V63" s="58" t="s">
        <v>118</v>
      </c>
      <c r="W63" s="58" t="s">
        <v>119</v>
      </c>
      <c r="X63" s="58" t="s">
        <v>118</v>
      </c>
      <c r="AJ63" s="3"/>
      <c r="AK63" s="3"/>
    </row>
    <row r="64" spans="1:37" ht="18" x14ac:dyDescent="0.35">
      <c r="A64" s="3"/>
      <c r="B64" s="91" t="str">
        <f t="shared" si="53"/>
        <v>Riz, upland</v>
      </c>
      <c r="C64" s="108">
        <f>W88</f>
        <v>698.69590047491499</v>
      </c>
      <c r="D64" s="148">
        <f>X88</f>
        <v>93873.128848774199</v>
      </c>
      <c r="E64" s="3"/>
      <c r="F64" s="3"/>
      <c r="G64" s="3"/>
      <c r="H64" s="102"/>
      <c r="I64" s="3"/>
      <c r="J64" s="3"/>
      <c r="K64" s="3"/>
      <c r="L64" s="153" t="s">
        <v>120</v>
      </c>
      <c r="M64" s="152">
        <v>3.8235972913622684</v>
      </c>
      <c r="N64" s="152">
        <v>1.0945972913622684</v>
      </c>
      <c r="O64" s="152">
        <v>0.95799999999999996</v>
      </c>
      <c r="P64" s="111">
        <f>M64-N64</f>
        <v>2.7290000000000001</v>
      </c>
      <c r="Q64" s="85">
        <f>IFERROR((M64-N64*POWER(O64,AC32)-(P64)),0)</f>
        <v>1.0676774826732474</v>
      </c>
      <c r="R64" s="85">
        <f>Q64*1000</f>
        <v>1067.6774826732474</v>
      </c>
      <c r="S64" s="112">
        <f>R64*N32*M32</f>
        <v>533838.74133662367</v>
      </c>
      <c r="T64" s="113">
        <f>S64+S65+S66+S67</f>
        <v>1369208.5108629079</v>
      </c>
      <c r="U64" s="113">
        <f>T48</f>
        <v>128380.90761875692</v>
      </c>
      <c r="V64" s="113">
        <f>T64-U64</f>
        <v>1240827.603244151</v>
      </c>
      <c r="W64" s="107">
        <f>R64+R65+R66+R67</f>
        <v>2738.4170217258161</v>
      </c>
      <c r="X64" s="114">
        <f>IF(OR(M32=0,M32=1),$V$64,IF(M32&lt;1,$V$64/M32,IF(M32&gt;1,$V$64/M32,0)))</f>
        <v>1240827.603244151</v>
      </c>
      <c r="AJ64" s="3"/>
      <c r="AK64" s="3"/>
    </row>
    <row r="65" spans="1:37" ht="18" x14ac:dyDescent="0.35">
      <c r="A65" s="3"/>
      <c r="B65" s="91" t="str">
        <f t="shared" si="53"/>
        <v>Sorgho-Arachide</v>
      </c>
      <c r="C65" s="108">
        <f>W92</f>
        <v>3843.2764526969586</v>
      </c>
      <c r="D65" s="148">
        <f>X92</f>
        <v>2037986.0301603568</v>
      </c>
      <c r="E65" s="3"/>
      <c r="F65" s="3"/>
      <c r="G65" s="3"/>
      <c r="H65" s="197"/>
      <c r="I65" s="3"/>
      <c r="J65" s="3"/>
      <c r="K65" s="3"/>
      <c r="L65" s="154" t="s">
        <v>121</v>
      </c>
      <c r="M65" s="152">
        <v>3.8477574698443648</v>
      </c>
      <c r="N65" s="152">
        <v>0.37075746984436497</v>
      </c>
      <c r="O65" s="152">
        <v>0.93</v>
      </c>
      <c r="P65" s="111">
        <f t="shared" ref="P65" si="54">M65-N65</f>
        <v>3.4769999999999999</v>
      </c>
      <c r="Q65" s="85">
        <f>IFERROR(((M65-N65*POWER(O65,AD32)-(P65))),0)</f>
        <v>0.33436047919983558</v>
      </c>
      <c r="R65" s="85">
        <f t="shared" ref="R65" si="55">Q65*1000</f>
        <v>334.36047919983559</v>
      </c>
      <c r="S65" s="112">
        <f>R65*N32*M32</f>
        <v>167180.23959991781</v>
      </c>
      <c r="T65" s="113"/>
      <c r="U65" s="113"/>
      <c r="V65" s="113"/>
      <c r="W65" s="107"/>
      <c r="X65" s="57"/>
      <c r="AJ65" s="3"/>
      <c r="AK65" s="3"/>
    </row>
    <row r="66" spans="1:37" ht="18" x14ac:dyDescent="0.35">
      <c r="A66" s="3"/>
      <c r="B66" s="91" t="str">
        <f t="shared" si="53"/>
        <v>Maïs-Arachide</v>
      </c>
      <c r="C66" s="149">
        <f>W96</f>
        <v>3109.0669095656767</v>
      </c>
      <c r="D66" s="148">
        <f>X96</f>
        <v>1486710.658993162</v>
      </c>
      <c r="E66" s="3"/>
      <c r="F66" s="3"/>
      <c r="G66" s="3"/>
      <c r="H66" s="184"/>
      <c r="I66" s="3"/>
      <c r="J66" s="3"/>
      <c r="K66" s="3"/>
      <c r="L66" s="155" t="s">
        <v>122</v>
      </c>
      <c r="M66" s="152">
        <v>4.1829059824181725</v>
      </c>
      <c r="N66" s="152">
        <v>0.46423931575150545</v>
      </c>
      <c r="O66" s="152">
        <v>0.8</v>
      </c>
      <c r="P66" s="116">
        <f t="shared" ref="P66" si="56">M66-N66</f>
        <v>3.718666666666667</v>
      </c>
      <c r="Q66" s="117">
        <f>IFERROR(((M66-N66*POWER(O66,AE32)-(P66))),0)</f>
        <v>0.45848022382303588</v>
      </c>
      <c r="R66" s="117">
        <f t="shared" ref="R66" si="57">Q66*1000</f>
        <v>458.48022382303589</v>
      </c>
      <c r="S66" s="118">
        <f>R66*N32*M32</f>
        <v>229240.11191151795</v>
      </c>
      <c r="T66" s="119"/>
      <c r="U66" s="119"/>
      <c r="V66" s="119"/>
      <c r="W66" s="120"/>
      <c r="X66" s="121"/>
      <c r="AJ66" s="3"/>
      <c r="AK66" s="3"/>
    </row>
    <row r="67" spans="1:37" ht="18" x14ac:dyDescent="0.4">
      <c r="A67" s="3"/>
      <c r="B67" s="224" t="s">
        <v>123</v>
      </c>
      <c r="C67" s="230"/>
      <c r="D67" s="231"/>
      <c r="E67" s="184"/>
      <c r="F67" s="184"/>
      <c r="G67" s="21"/>
      <c r="H67" s="184"/>
      <c r="I67" s="3"/>
      <c r="J67" s="3"/>
      <c r="K67" s="3"/>
      <c r="L67" s="110" t="s">
        <v>124</v>
      </c>
      <c r="M67" s="152">
        <v>5.1035548336286309</v>
      </c>
      <c r="N67" s="152">
        <v>0.90080483362863095</v>
      </c>
      <c r="O67" s="152">
        <v>0.27</v>
      </c>
      <c r="P67" s="121">
        <f t="shared" ref="P67" si="58">M67-N67</f>
        <v>4.20275</v>
      </c>
      <c r="Q67" s="85">
        <f>IFERROR((M67-N67*POWER(O67,AF32)-(P67)),0)</f>
        <v>0.87789883602969709</v>
      </c>
      <c r="R67" s="117">
        <f t="shared" ref="R67" si="59">Q67*1000</f>
        <v>877.89883602969712</v>
      </c>
      <c r="S67" s="118">
        <f>R67*N32*M32</f>
        <v>438949.41801484855</v>
      </c>
      <c r="T67" s="119"/>
      <c r="U67" s="119"/>
      <c r="V67" s="119"/>
      <c r="W67" s="107"/>
      <c r="X67" s="114"/>
      <c r="AJ67" s="3"/>
      <c r="AK67" s="3"/>
    </row>
    <row r="68" spans="1:37" ht="35" x14ac:dyDescent="0.35">
      <c r="A68" s="3"/>
      <c r="B68" s="115" t="s">
        <v>125</v>
      </c>
      <c r="C68" s="226">
        <f>V110</f>
        <v>14503358.915952172</v>
      </c>
      <c r="D68" s="227"/>
      <c r="E68" s="184"/>
      <c r="F68" s="184"/>
      <c r="G68" s="197"/>
      <c r="H68" s="184"/>
      <c r="I68" s="3"/>
      <c r="J68" s="3"/>
      <c r="K68" s="3"/>
      <c r="L68" s="156" t="s">
        <v>126</v>
      </c>
      <c r="M68" s="152">
        <v>3.0224102860304929</v>
      </c>
      <c r="N68" s="152">
        <v>1.7084102860304928</v>
      </c>
      <c r="O68" s="152">
        <v>0.96699999999999997</v>
      </c>
      <c r="P68" s="58">
        <f t="shared" ref="P68:P71" si="60">M68-N68</f>
        <v>1.3140000000000001</v>
      </c>
      <c r="Q68" s="85">
        <f>IFERROR((M68-N68*POWER(O68,AC33)-(P68)),0)</f>
        <v>1.5415458376021696</v>
      </c>
      <c r="R68" s="85">
        <f>Q68*1000</f>
        <v>1541.5458376021695</v>
      </c>
      <c r="S68" s="112">
        <f>R68*$N$33*$M$33</f>
        <v>192693.22970027119</v>
      </c>
      <c r="T68" s="113">
        <f>S68+S69+S70+S71</f>
        <v>328103.15288374829</v>
      </c>
      <c r="U68" s="113">
        <f>T49</f>
        <v>76364.834307571204</v>
      </c>
      <c r="V68" s="113">
        <f>T68-U68</f>
        <v>251738.31857617709</v>
      </c>
      <c r="W68" s="107">
        <f>R68+R69+R70+R71</f>
        <v>2624.8252230699864</v>
      </c>
      <c r="X68" s="57">
        <f>IF(OR(M33=0,M33=1),$V$68,IF(M33&lt;1,$V$68/M33,IF(M33&gt;1,$V$68/M33,0)))</f>
        <v>251738.31857617709</v>
      </c>
      <c r="AJ68" s="3"/>
      <c r="AK68" s="3"/>
    </row>
    <row r="69" spans="1:37" ht="46.5" customHeight="1" x14ac:dyDescent="0.35">
      <c r="A69" s="3"/>
      <c r="B69" s="184"/>
      <c r="C69" s="184"/>
      <c r="D69" s="184"/>
      <c r="E69" s="184"/>
      <c r="F69" s="184"/>
      <c r="G69" s="185"/>
      <c r="H69" s="136"/>
      <c r="I69" s="136"/>
      <c r="J69" s="122"/>
      <c r="K69" s="122"/>
      <c r="L69" s="156" t="s">
        <v>127</v>
      </c>
      <c r="M69" s="152">
        <v>3.6106137724121403</v>
      </c>
      <c r="N69" s="152">
        <v>0.72961377241214009</v>
      </c>
      <c r="O69" s="152">
        <v>0.89500000000000002</v>
      </c>
      <c r="P69" s="58">
        <f t="shared" si="60"/>
        <v>2.8810000000000002</v>
      </c>
      <c r="Q69" s="117">
        <f>IFERROR(((M69-N69*POWER(O69,AD33)-(P69))),0)</f>
        <v>0.64929744817262458</v>
      </c>
      <c r="R69" s="85">
        <f t="shared" ref="R69:R71" si="61">Q69*1000</f>
        <v>649.29744817262463</v>
      </c>
      <c r="S69" s="112">
        <f t="shared" ref="S69:S71" si="62">R69*$N$33*$M$33</f>
        <v>81162.181021578072</v>
      </c>
      <c r="T69" s="113"/>
      <c r="U69" s="113"/>
      <c r="V69" s="113"/>
      <c r="W69" s="107"/>
      <c r="X69" s="57"/>
      <c r="AJ69" s="122"/>
      <c r="AK69" s="122"/>
    </row>
    <row r="70" spans="1:37" ht="17.25" customHeight="1" x14ac:dyDescent="0.3">
      <c r="A70" s="3"/>
      <c r="B70" s="184"/>
      <c r="C70" s="184"/>
      <c r="D70" s="184"/>
      <c r="E70" s="184"/>
      <c r="F70" s="184"/>
      <c r="G70" s="185"/>
      <c r="H70" s="184"/>
      <c r="I70" s="3"/>
      <c r="J70" s="3"/>
      <c r="K70" s="3"/>
      <c r="L70" s="156" t="s">
        <v>128</v>
      </c>
      <c r="M70" s="152">
        <v>2.8462163588674128</v>
      </c>
      <c r="N70" s="152">
        <v>0</v>
      </c>
      <c r="O70" s="152">
        <v>0.81</v>
      </c>
      <c r="P70" s="58">
        <f t="shared" si="60"/>
        <v>2.8462163588674128</v>
      </c>
      <c r="Q70" s="85">
        <f>IFERROR(((M70-N70*POWER(O70,AE33)-(P70))),0)</f>
        <v>0</v>
      </c>
      <c r="R70" s="85">
        <f t="shared" si="61"/>
        <v>0</v>
      </c>
      <c r="S70" s="112">
        <f t="shared" si="62"/>
        <v>0</v>
      </c>
      <c r="T70" s="113"/>
      <c r="U70" s="113"/>
      <c r="V70" s="113"/>
      <c r="W70" s="107"/>
      <c r="X70" s="114"/>
      <c r="AJ70" s="3"/>
      <c r="AK70" s="3"/>
    </row>
    <row r="71" spans="1:37" ht="30" customHeight="1" x14ac:dyDescent="0.35">
      <c r="A71" s="3"/>
      <c r="B71" s="184"/>
      <c r="C71" s="184"/>
      <c r="D71" s="184"/>
      <c r="E71" s="184"/>
      <c r="F71" s="184"/>
      <c r="G71" s="185"/>
      <c r="H71" s="136"/>
      <c r="I71" s="136"/>
      <c r="J71" s="122"/>
      <c r="K71" s="122"/>
      <c r="L71" s="110" t="s">
        <v>129</v>
      </c>
      <c r="M71" s="152">
        <v>3.7979117783955276</v>
      </c>
      <c r="N71" s="152">
        <v>0.56691177839552775</v>
      </c>
      <c r="O71" s="152">
        <v>0.41499999999999998</v>
      </c>
      <c r="P71" s="121">
        <f t="shared" si="60"/>
        <v>3.2309999999999999</v>
      </c>
      <c r="Q71" s="85">
        <f>IFERROR((M71-N71*POWER(O71,AF33)-(P71)),0)</f>
        <v>0.4339819372951923</v>
      </c>
      <c r="R71" s="85">
        <f t="shared" si="61"/>
        <v>433.98193729519232</v>
      </c>
      <c r="S71" s="112">
        <f t="shared" si="62"/>
        <v>54247.742161899041</v>
      </c>
      <c r="T71" s="113"/>
      <c r="U71" s="113"/>
      <c r="V71" s="113"/>
      <c r="W71" s="107"/>
      <c r="X71" s="57"/>
      <c r="AJ71" s="122"/>
      <c r="AK71" s="122"/>
    </row>
    <row r="72" spans="1:37" x14ac:dyDescent="0.3">
      <c r="A72" s="3"/>
      <c r="B72" s="184"/>
      <c r="C72" s="184"/>
      <c r="D72" s="184"/>
      <c r="E72" s="184"/>
      <c r="F72" s="184"/>
      <c r="G72" s="185"/>
      <c r="H72" s="3"/>
      <c r="I72" s="3"/>
      <c r="J72" s="3"/>
      <c r="K72" s="3"/>
      <c r="L72" s="156" t="s">
        <v>130</v>
      </c>
      <c r="M72" s="152">
        <v>2.5801949466799066</v>
      </c>
      <c r="N72" s="152">
        <v>0.67819494667990687</v>
      </c>
      <c r="O72" s="152">
        <v>0.97299999999999998</v>
      </c>
      <c r="P72" s="121">
        <f t="shared" ref="P72:P75" si="63">M72-N72</f>
        <v>1.9019999999999997</v>
      </c>
      <c r="Q72" s="117">
        <f>IFERROR((M72-N72*POWER(O72,AC34)-(P72)),0)</f>
        <v>0.42106820081225127</v>
      </c>
      <c r="R72" s="85">
        <f t="shared" ref="R72:R75" si="64">Q72*1000</f>
        <v>421.06820081225129</v>
      </c>
      <c r="S72" s="112">
        <f>R72*$N$34*$M$34</f>
        <v>42106.820081225131</v>
      </c>
      <c r="T72" s="113">
        <f>S72+S73+S74+S75</f>
        <v>73018.351371530065</v>
      </c>
      <c r="U72" s="113">
        <f>T50</f>
        <v>29624.65697577126</v>
      </c>
      <c r="V72" s="113">
        <f>T72-U72</f>
        <v>43393.694395758808</v>
      </c>
      <c r="W72" s="107">
        <f>R72+R73+R74+R75</f>
        <v>730.18351371530059</v>
      </c>
      <c r="X72" s="57">
        <f>IF(OR(M34=0,M34=1),$V$72,IF(M34&lt;1,$V$72/M34,IF(M34&gt;1,$V$72/M34,0)))</f>
        <v>43393.694395758808</v>
      </c>
      <c r="AJ72" s="3"/>
      <c r="AK72" s="3"/>
    </row>
    <row r="73" spans="1:37" ht="47.25" customHeight="1" x14ac:dyDescent="0.35">
      <c r="A73" s="3"/>
      <c r="B73" s="184"/>
      <c r="C73" s="184"/>
      <c r="D73" s="184"/>
      <c r="E73" s="136"/>
      <c r="F73" s="136"/>
      <c r="G73" s="136"/>
      <c r="H73" s="136"/>
      <c r="I73" s="136"/>
      <c r="J73" s="122"/>
      <c r="K73" s="122"/>
      <c r="L73" s="156" t="s">
        <v>131</v>
      </c>
      <c r="M73" s="152">
        <v>1.6300819039753058</v>
      </c>
      <c r="N73" s="152">
        <v>0.23908190397530582</v>
      </c>
      <c r="O73" s="152">
        <v>0.80100000000000005</v>
      </c>
      <c r="P73" s="121">
        <f t="shared" si="63"/>
        <v>1.391</v>
      </c>
      <c r="Q73" s="117">
        <f>IFERROR(((M73-N73*POWER(O73,AD34)-(P73))),0)</f>
        <v>0.19814074513862767</v>
      </c>
      <c r="R73" s="117">
        <f t="shared" si="64"/>
        <v>198.14074513862766</v>
      </c>
      <c r="S73" s="112">
        <f t="shared" ref="S73:S75" si="65">R73*$N$34*$M$34</f>
        <v>19814.074513862768</v>
      </c>
      <c r="T73" s="119"/>
      <c r="U73" s="119"/>
      <c r="V73" s="119"/>
      <c r="W73" s="120"/>
      <c r="X73" s="123"/>
      <c r="AJ73" s="122"/>
      <c r="AK73" s="122"/>
    </row>
    <row r="74" spans="1:37" ht="18" customHeight="1" x14ac:dyDescent="0.3">
      <c r="A74" s="3"/>
      <c r="B74" s="184"/>
      <c r="C74" s="184"/>
      <c r="D74" s="184"/>
      <c r="E74" s="184"/>
      <c r="F74" s="184"/>
      <c r="G74" s="185"/>
      <c r="H74" s="3"/>
      <c r="I74" s="3"/>
      <c r="J74" s="3"/>
      <c r="K74" s="3"/>
      <c r="L74" s="156" t="s">
        <v>132</v>
      </c>
      <c r="M74" s="152">
        <v>1.6057375539225192</v>
      </c>
      <c r="N74" s="152">
        <v>0.17123755392251927</v>
      </c>
      <c r="O74" s="152">
        <v>0.89800000000000002</v>
      </c>
      <c r="P74" s="121">
        <f t="shared" si="63"/>
        <v>1.4344999999999999</v>
      </c>
      <c r="Q74" s="117">
        <f>IFERROR(((M74-N74*POWER(O74,AE34)-(P74))),0)</f>
        <v>0.11097456776442161</v>
      </c>
      <c r="R74" s="117">
        <f t="shared" si="64"/>
        <v>110.97456776442161</v>
      </c>
      <c r="S74" s="112">
        <f t="shared" si="65"/>
        <v>11097.456776442161</v>
      </c>
      <c r="T74" s="119"/>
      <c r="U74" s="119"/>
      <c r="V74" s="119"/>
      <c r="W74" s="120"/>
      <c r="X74" s="123"/>
      <c r="AJ74" s="3"/>
      <c r="AK74" s="3"/>
    </row>
    <row r="75" spans="1:37" ht="15.75" customHeight="1" x14ac:dyDescent="0.3">
      <c r="A75" s="3"/>
      <c r="B75" s="214" t="s">
        <v>133</v>
      </c>
      <c r="C75" s="214"/>
      <c r="D75" s="214"/>
      <c r="E75" s="214"/>
      <c r="F75" s="214"/>
      <c r="G75" s="214"/>
      <c r="H75" s="214"/>
      <c r="I75" s="214"/>
      <c r="J75" s="3"/>
      <c r="K75" s="3"/>
      <c r="L75" s="110" t="s">
        <v>134</v>
      </c>
      <c r="M75" s="152">
        <v>2.5814277892865971</v>
      </c>
      <c r="N75" s="152">
        <v>3.8927789286597125E-2</v>
      </c>
      <c r="O75" s="152">
        <v>0.45</v>
      </c>
      <c r="P75" s="121">
        <f t="shared" si="63"/>
        <v>2.5425</v>
      </c>
      <c r="Q75" s="117">
        <f>IFERROR((M75-N75*POWER(O75,AF34)-(P75)),0)</f>
        <v>0</v>
      </c>
      <c r="R75" s="117">
        <f t="shared" si="64"/>
        <v>0</v>
      </c>
      <c r="S75" s="112">
        <f t="shared" si="65"/>
        <v>0</v>
      </c>
      <c r="T75" s="119"/>
      <c r="U75" s="119"/>
      <c r="V75" s="119"/>
      <c r="W75" s="120"/>
      <c r="X75" s="121"/>
      <c r="AJ75" s="3"/>
      <c r="AK75" s="3"/>
    </row>
    <row r="76" spans="1:37" ht="18.75" customHeight="1" x14ac:dyDescent="0.3">
      <c r="A76" s="3"/>
      <c r="B76" s="184"/>
      <c r="C76" s="184"/>
      <c r="D76" s="184"/>
      <c r="E76" s="184"/>
      <c r="F76" s="184"/>
      <c r="G76" s="185"/>
      <c r="H76" s="184"/>
      <c r="I76" s="3"/>
      <c r="J76" s="3"/>
      <c r="K76" s="3"/>
      <c r="L76" s="155" t="s">
        <v>135</v>
      </c>
      <c r="M76" s="152"/>
      <c r="N76" s="152"/>
      <c r="O76" s="152"/>
      <c r="P76" s="121">
        <f t="shared" ref="P76:P78" si="66">M76-N76</f>
        <v>0</v>
      </c>
      <c r="Q76" s="117">
        <f>IFERROR((M76-N76*POWER(O76,AC35)-(P76)),0)</f>
        <v>0</v>
      </c>
      <c r="R76" s="117">
        <f t="shared" ref="R76:R78" si="67">Q76*1000</f>
        <v>0</v>
      </c>
      <c r="S76" s="118">
        <f>R76*$N$35*$M$35</f>
        <v>0</v>
      </c>
      <c r="T76" s="119">
        <f>S76+S77+S78+S79</f>
        <v>37318.883484334096</v>
      </c>
      <c r="U76" s="119">
        <f>T51</f>
        <v>13843.662802101999</v>
      </c>
      <c r="V76" s="119">
        <f>T76-U76</f>
        <v>23475.220682232095</v>
      </c>
      <c r="W76" s="107">
        <f>R76+R77+R78+R79</f>
        <v>93.29720871083525</v>
      </c>
      <c r="X76" s="114">
        <f>IF(OR(M35=0,M35=1),$V$76,IF(M35&lt;1,$V$76/M35,IF(M35&gt;1,$V$76/M35,0)))</f>
        <v>23475.220682232095</v>
      </c>
      <c r="AJ76" s="3"/>
      <c r="AK76" s="3"/>
    </row>
    <row r="77" spans="1:37" ht="16.5" customHeight="1" x14ac:dyDescent="0.3">
      <c r="A77" s="3"/>
      <c r="B77" s="214" t="s">
        <v>136</v>
      </c>
      <c r="C77" s="214"/>
      <c r="D77" s="214"/>
      <c r="E77" s="214"/>
      <c r="F77" s="214"/>
      <c r="G77" s="214"/>
      <c r="H77" s="214"/>
      <c r="I77" s="214"/>
      <c r="J77" s="3"/>
      <c r="K77" s="3"/>
      <c r="L77" s="157" t="s">
        <v>137</v>
      </c>
      <c r="M77" s="152">
        <v>1.5120952105415721</v>
      </c>
      <c r="N77" s="152">
        <v>0.10509521054157211</v>
      </c>
      <c r="O77" s="152">
        <v>0.8</v>
      </c>
      <c r="P77" s="121">
        <f t="shared" si="66"/>
        <v>1.407</v>
      </c>
      <c r="Q77" s="117">
        <f>IFERROR(((M77-N77*POWER(O77,AD35)-(P77))),0)</f>
        <v>8.8922891094148637E-2</v>
      </c>
      <c r="R77" s="117">
        <f t="shared" si="67"/>
        <v>88.922891094148639</v>
      </c>
      <c r="S77" s="118">
        <f t="shared" ref="S77:S79" si="68">R77*$N$35*$M$35</f>
        <v>35569.156437659454</v>
      </c>
      <c r="T77" s="119"/>
      <c r="U77" s="119"/>
      <c r="V77" s="119"/>
      <c r="W77" s="120"/>
      <c r="X77" s="123"/>
      <c r="AJ77" s="3"/>
      <c r="AK77" s="3"/>
    </row>
    <row r="78" spans="1:37" ht="21" customHeight="1" x14ac:dyDescent="0.3">
      <c r="A78" s="3"/>
      <c r="B78" s="184"/>
      <c r="C78" s="184"/>
      <c r="D78" s="184"/>
      <c r="E78" s="184"/>
      <c r="F78" s="184"/>
      <c r="G78" s="3"/>
      <c r="H78" s="3"/>
      <c r="I78" s="3"/>
      <c r="J78" s="3"/>
      <c r="K78" s="3"/>
      <c r="L78" s="110" t="s">
        <v>138</v>
      </c>
      <c r="M78" s="152">
        <v>0.55600000000000005</v>
      </c>
      <c r="N78" s="152">
        <v>0</v>
      </c>
      <c r="O78" s="152">
        <v>0.8</v>
      </c>
      <c r="P78" s="58">
        <f t="shared" si="66"/>
        <v>0.55600000000000005</v>
      </c>
      <c r="Q78" s="85">
        <f>IFERROR(((M78-N78*POWER(O78,AE35)-(P78))),0)</f>
        <v>0</v>
      </c>
      <c r="R78" s="85">
        <f t="shared" si="67"/>
        <v>0</v>
      </c>
      <c r="S78" s="118">
        <f t="shared" si="68"/>
        <v>0</v>
      </c>
      <c r="T78" s="58"/>
      <c r="U78" s="58"/>
      <c r="V78" s="58"/>
      <c r="W78" s="107"/>
      <c r="X78" s="114"/>
      <c r="AJ78" s="3"/>
      <c r="AK78" s="3"/>
    </row>
    <row r="79" spans="1:37" ht="21.75" customHeight="1" x14ac:dyDescent="0.3">
      <c r="A79" s="3"/>
      <c r="B79" s="214" t="s">
        <v>139</v>
      </c>
      <c r="C79" s="214"/>
      <c r="D79" s="214"/>
      <c r="E79" s="214"/>
      <c r="F79" s="214"/>
      <c r="G79" s="214"/>
      <c r="H79" s="214"/>
      <c r="I79" s="214"/>
      <c r="J79" s="3"/>
      <c r="K79" s="3"/>
      <c r="L79" s="110" t="s">
        <v>140</v>
      </c>
      <c r="M79" s="152">
        <v>1.4866624532447776</v>
      </c>
      <c r="N79" s="152">
        <v>2.3662453244777559E-2</v>
      </c>
      <c r="O79" s="152">
        <v>0.18</v>
      </c>
      <c r="P79" s="58">
        <f>M79-N79</f>
        <v>1.4630000000000001</v>
      </c>
      <c r="Q79" s="85">
        <f>IFERROR((M79-N79*POWER(O79,AF35)-(P79)),0)</f>
        <v>4.3743176166866071E-3</v>
      </c>
      <c r="R79" s="85">
        <f>Q79*1000</f>
        <v>4.3743176166866071</v>
      </c>
      <c r="S79" s="118">
        <f t="shared" si="68"/>
        <v>1749.7270466746429</v>
      </c>
      <c r="T79" s="113"/>
      <c r="U79" s="113"/>
      <c r="V79" s="113"/>
      <c r="W79" s="107"/>
      <c r="X79" s="114"/>
    </row>
    <row r="80" spans="1:37" x14ac:dyDescent="0.3">
      <c r="A80" s="3"/>
      <c r="B80" s="184"/>
      <c r="C80" s="184"/>
      <c r="D80" s="184"/>
      <c r="E80" s="184"/>
      <c r="F80" s="184"/>
      <c r="G80" s="185"/>
      <c r="H80" s="3"/>
      <c r="I80" s="3"/>
      <c r="J80" s="3"/>
      <c r="K80" s="3"/>
      <c r="L80" s="155" t="s">
        <v>141</v>
      </c>
      <c r="M80" s="152">
        <v>0</v>
      </c>
      <c r="N80" s="152">
        <v>0</v>
      </c>
      <c r="O80" s="152">
        <v>0</v>
      </c>
      <c r="P80" s="125">
        <f>M80-N80</f>
        <v>0</v>
      </c>
      <c r="Q80" s="126">
        <f>IFERROR((M80-N80*POWER(O80,AC36)-(P80)),0)</f>
        <v>0</v>
      </c>
      <c r="R80" s="126">
        <f>Q80*1000</f>
        <v>0</v>
      </c>
      <c r="S80" s="127">
        <f>R80*$N$36*$M$36</f>
        <v>0</v>
      </c>
      <c r="T80" s="128">
        <f>S80+S81+S82+S83</f>
        <v>244391.07900325843</v>
      </c>
      <c r="U80" s="128">
        <f>T52</f>
        <v>44246.929193308126</v>
      </c>
      <c r="V80" s="128">
        <f>T80-U80</f>
        <v>200144.14980995032</v>
      </c>
      <c r="W80" s="129">
        <f>R80+R81+R82+R83</f>
        <v>407.31846500543065</v>
      </c>
      <c r="X80" s="130">
        <f>IF(OR(M36=0,M36=1),$V$80,IF(M36&lt;1,$V$80/M36,IF(M36&gt;1,$V$80/M36,0)))</f>
        <v>200144.14980995032</v>
      </c>
    </row>
    <row r="81" spans="1:24" ht="15.5" x14ac:dyDescent="0.3">
      <c r="A81" s="3"/>
      <c r="B81" s="214" t="s">
        <v>142</v>
      </c>
      <c r="C81" s="214"/>
      <c r="D81" s="214"/>
      <c r="E81" s="214"/>
      <c r="F81" s="214"/>
      <c r="G81" s="214"/>
      <c r="H81" s="214"/>
      <c r="I81" s="214"/>
      <c r="J81" s="3"/>
      <c r="K81" s="3"/>
      <c r="L81" s="157" t="s">
        <v>143</v>
      </c>
      <c r="M81" s="152">
        <v>1.1811705439159668</v>
      </c>
      <c r="N81" s="152">
        <v>0.31067054391596671</v>
      </c>
      <c r="O81" s="152">
        <v>0.85099999999999998</v>
      </c>
      <c r="P81" s="62">
        <f t="shared" ref="P81" si="69">M81-N81</f>
        <v>0.87050000000000005</v>
      </c>
      <c r="Q81" s="131">
        <f>IFERROR(((M81-N81*POWER(O81,AD36)-(P81))),0)</f>
        <v>0.2958611483876632</v>
      </c>
      <c r="R81" s="131">
        <f t="shared" ref="R81:R83" si="70">Q81*1000</f>
        <v>295.86114838766321</v>
      </c>
      <c r="S81" s="127">
        <f t="shared" ref="S81:S83" si="71">R81*$N$36*$M$36</f>
        <v>177516.68903259793</v>
      </c>
      <c r="T81" s="62"/>
      <c r="U81" s="132"/>
      <c r="V81" s="132"/>
      <c r="W81" s="133"/>
      <c r="X81" s="62"/>
    </row>
    <row r="82" spans="1:24" x14ac:dyDescent="0.3">
      <c r="D82" s="201"/>
      <c r="E82" s="186"/>
      <c r="F82" s="186"/>
      <c r="G82" s="186"/>
      <c r="L82" s="124" t="s">
        <v>144</v>
      </c>
      <c r="M82" s="152">
        <v>0.70323113223753364</v>
      </c>
      <c r="N82" s="152">
        <v>0.12423113223753368</v>
      </c>
      <c r="O82" s="152">
        <v>0.91800000000000004</v>
      </c>
      <c r="P82" s="62">
        <f>M82-N82</f>
        <v>0.57899999999999996</v>
      </c>
      <c r="Q82" s="62">
        <f>IFERROR(((M82-N82*POWER(O82,AE36)-(P82))),0)</f>
        <v>0.11145731661776748</v>
      </c>
      <c r="R82" s="131">
        <f t="shared" si="70"/>
        <v>111.45731661776748</v>
      </c>
      <c r="S82" s="127">
        <f t="shared" si="71"/>
        <v>66874.389970660486</v>
      </c>
      <c r="T82" s="62"/>
      <c r="U82" s="133"/>
      <c r="V82" s="133"/>
      <c r="W82" s="131"/>
      <c r="X82" s="62"/>
    </row>
    <row r="83" spans="1:24" x14ac:dyDescent="0.3">
      <c r="B83" s="186"/>
      <c r="C83" s="186"/>
      <c r="D83" s="186"/>
      <c r="L83" s="158" t="s">
        <v>145</v>
      </c>
      <c r="M83" s="152">
        <v>0</v>
      </c>
      <c r="N83" s="152">
        <v>0</v>
      </c>
      <c r="O83" s="152">
        <v>0</v>
      </c>
      <c r="P83" s="62">
        <f>M83-N83</f>
        <v>0</v>
      </c>
      <c r="Q83" s="62">
        <f>IFERROR((M83-N83*POWER(O83,AF36)-(P83)),0)</f>
        <v>0</v>
      </c>
      <c r="R83" s="131">
        <f t="shared" si="70"/>
        <v>0</v>
      </c>
      <c r="S83" s="127">
        <f t="shared" si="71"/>
        <v>0</v>
      </c>
      <c r="T83" s="62"/>
      <c r="U83" s="62"/>
      <c r="V83" s="62"/>
      <c r="W83" s="62"/>
      <c r="X83" s="62"/>
    </row>
    <row r="84" spans="1:24" x14ac:dyDescent="0.3">
      <c r="B84" s="201"/>
      <c r="C84" s="186"/>
      <c r="D84" s="186"/>
      <c r="L84" s="155" t="s">
        <v>146</v>
      </c>
      <c r="M84" s="152">
        <v>18.025126736017668</v>
      </c>
      <c r="N84" s="152">
        <v>6.7251267360176676</v>
      </c>
      <c r="O84" s="152">
        <v>0.90700000000000003</v>
      </c>
      <c r="P84" s="62">
        <f>M84-N84</f>
        <v>11.3</v>
      </c>
      <c r="Q84" s="62">
        <f>IFERROR((M84-N84*POWER(O84,AC37)-(P84)),0)</f>
        <v>6.6995543691916311</v>
      </c>
      <c r="R84" s="131">
        <f t="shared" ref="R84:R86" si="72">Q84*1000</f>
        <v>6699.5543691916309</v>
      </c>
      <c r="S84" s="62">
        <f>R84*$N$37*$M$37</f>
        <v>4689688.0584341418</v>
      </c>
      <c r="T84" s="62">
        <f>S84+S85+S86+S87</f>
        <v>9100578.1702068076</v>
      </c>
      <c r="U84" s="133">
        <f>T53</f>
        <v>69241.187813972298</v>
      </c>
      <c r="V84" s="62">
        <f>T84-U84</f>
        <v>9031336.9823928345</v>
      </c>
      <c r="W84" s="131">
        <f>R84+R85+R86+R87</f>
        <v>13000.825957438294</v>
      </c>
      <c r="X84" s="62">
        <f>IF(OR(M37=0,M37=1),$V$84,IF(M37&lt;1,$V$84/M37,IF(M37&gt;1,$V$84/M37,0)))</f>
        <v>9031336.9823928345</v>
      </c>
    </row>
    <row r="85" spans="1:24" x14ac:dyDescent="0.3">
      <c r="L85" s="157" t="s">
        <v>147</v>
      </c>
      <c r="M85" s="152">
        <v>16.95</v>
      </c>
      <c r="N85" s="152">
        <v>0</v>
      </c>
      <c r="O85" s="152">
        <v>0.9</v>
      </c>
      <c r="P85" s="132">
        <f t="shared" ref="P85" si="73">M85-N85</f>
        <v>16.95</v>
      </c>
      <c r="Q85" s="132">
        <f>IFERROR(((M85-N85*POWER(O85,AD37)-(P85))),0)</f>
        <v>0</v>
      </c>
      <c r="R85" s="132">
        <f t="shared" si="72"/>
        <v>0</v>
      </c>
      <c r="S85" s="62">
        <f>R85*$N$37*$M$37</f>
        <v>0</v>
      </c>
      <c r="T85" s="132"/>
      <c r="U85" s="132"/>
      <c r="V85" s="132"/>
      <c r="W85" s="132"/>
      <c r="X85" s="132"/>
    </row>
    <row r="86" spans="1:24" x14ac:dyDescent="0.3">
      <c r="L86" s="158" t="s">
        <v>148</v>
      </c>
      <c r="M86" s="152">
        <v>24.636942515077909</v>
      </c>
      <c r="N86" s="152">
        <v>6.3214425150779086</v>
      </c>
      <c r="O86" s="152">
        <v>0.89100000000000001</v>
      </c>
      <c r="P86" s="62">
        <f>M86-N86</f>
        <v>18.3155</v>
      </c>
      <c r="Q86" s="62">
        <f>IFERROR(((M86-N86*POWER(O86,AE37)-(P86))),0)</f>
        <v>6.3012715882466637</v>
      </c>
      <c r="R86" s="131">
        <f t="shared" si="72"/>
        <v>6301.2715882466637</v>
      </c>
      <c r="S86" s="62">
        <f>R86*$N$37*$M$37</f>
        <v>4410890.1117726648</v>
      </c>
      <c r="T86" s="134"/>
      <c r="U86" s="134"/>
      <c r="V86" s="134"/>
      <c r="W86" s="133"/>
      <c r="X86" s="133"/>
    </row>
    <row r="87" spans="1:24" x14ac:dyDescent="0.3">
      <c r="L87" s="158" t="s">
        <v>149</v>
      </c>
      <c r="M87" s="152">
        <v>0</v>
      </c>
      <c r="N87" s="152">
        <v>0</v>
      </c>
      <c r="O87" s="152">
        <v>0</v>
      </c>
      <c r="P87" s="62">
        <f>M87-N87</f>
        <v>0</v>
      </c>
      <c r="Q87" s="62">
        <f>IFERROR(((M87-N87*POWER(O87,AF37)-(P87))),0)</f>
        <v>0</v>
      </c>
      <c r="R87" s="131">
        <f>Q87*1000</f>
        <v>0</v>
      </c>
      <c r="S87" s="62">
        <f>R87*$N$37*$M$37</f>
        <v>0</v>
      </c>
      <c r="T87" s="134"/>
      <c r="U87" s="134"/>
      <c r="V87" s="134"/>
      <c r="W87" s="133"/>
      <c r="X87" s="133"/>
    </row>
    <row r="88" spans="1:24" x14ac:dyDescent="0.3">
      <c r="I88" s="4" t="s">
        <v>94</v>
      </c>
      <c r="L88" s="124" t="s">
        <v>150</v>
      </c>
      <c r="M88" s="152">
        <v>2.4642540095633336</v>
      </c>
      <c r="N88" s="152">
        <v>0.64175400956333384</v>
      </c>
      <c r="O88" s="152">
        <v>0.96799999999999997</v>
      </c>
      <c r="P88" s="62">
        <f>M88-N88</f>
        <v>1.8224999999999998</v>
      </c>
      <c r="Q88" s="62">
        <f>IFERROR(((M88-N88*POWER(O88,AC38)-(P88))),0)</f>
        <v>0.51114537052253306</v>
      </c>
      <c r="R88" s="131">
        <f>Q88*1000</f>
        <v>511.14537052253309</v>
      </c>
      <c r="S88" s="62">
        <f>R88*$N$38*$M$38</f>
        <v>184012.3333881119</v>
      </c>
      <c r="T88" s="134">
        <f>S88+S89+S90+S91</f>
        <v>251530.52417096938</v>
      </c>
      <c r="U88" s="134">
        <f>T54</f>
        <v>63784.266473420976</v>
      </c>
      <c r="V88" s="134">
        <f>T88-U88</f>
        <v>187746.2576975484</v>
      </c>
      <c r="W88" s="133">
        <f>R88+R89+R90+R91</f>
        <v>698.69590047491499</v>
      </c>
      <c r="X88" s="133">
        <f>IF(OR(M38=0,M38=1),$V$88,IF(M38&lt;1,$V$88/M38,IF(M38&gt;1,$V$88/M38,0)))</f>
        <v>93873.128848774199</v>
      </c>
    </row>
    <row r="89" spans="1:24" x14ac:dyDescent="0.3">
      <c r="L89" s="124" t="s">
        <v>151</v>
      </c>
      <c r="M89" s="152">
        <v>2.4589832552859421</v>
      </c>
      <c r="N89" s="152">
        <v>8.0983255285941969E-2</v>
      </c>
      <c r="O89" s="152">
        <v>0.95</v>
      </c>
      <c r="P89" s="62">
        <f t="shared" ref="P89:P90" si="74">M89-N89</f>
        <v>2.3780000000000001</v>
      </c>
      <c r="Q89" s="62">
        <f>IFERROR(((M89-N89*POWER(O89,AD38)-(P89))),0)</f>
        <v>1.2589913238349126E-2</v>
      </c>
      <c r="R89" s="131">
        <f t="shared" ref="R89:R99" si="75">Q89*1000</f>
        <v>12.589913238349126</v>
      </c>
      <c r="S89" s="62">
        <f t="shared" ref="S89" si="76">R89*$N$38*$M$38</f>
        <v>4532.3687658056851</v>
      </c>
      <c r="T89" s="132"/>
      <c r="U89" s="132"/>
      <c r="V89" s="132"/>
      <c r="W89" s="132"/>
      <c r="X89" s="132"/>
    </row>
    <row r="90" spans="1:24" x14ac:dyDescent="0.3">
      <c r="L90" s="158" t="s">
        <v>152</v>
      </c>
      <c r="M90" s="152">
        <v>2.04</v>
      </c>
      <c r="N90" s="152">
        <v>0.19</v>
      </c>
      <c r="O90" s="152">
        <v>0.8</v>
      </c>
      <c r="P90" s="62">
        <f t="shared" si="74"/>
        <v>1.85</v>
      </c>
      <c r="Q90" s="62">
        <f>IFERROR(((M90-N90*POWER(O90,AE38)-(P90))),0)</f>
        <v>0.17496061671403274</v>
      </c>
      <c r="R90" s="131">
        <f t="shared" si="75"/>
        <v>174.96061671403274</v>
      </c>
      <c r="S90" s="62">
        <f>R90*$N$38*$M$38</f>
        <v>62985.822017051789</v>
      </c>
      <c r="T90" s="132"/>
      <c r="U90" s="132"/>
      <c r="V90" s="132"/>
      <c r="W90" s="135"/>
      <c r="X90" s="132"/>
    </row>
    <row r="91" spans="1:24" x14ac:dyDescent="0.3">
      <c r="L91" s="124" t="s">
        <v>153</v>
      </c>
      <c r="M91" s="152"/>
      <c r="N91" s="152"/>
      <c r="O91" s="152"/>
      <c r="P91" s="58">
        <f>M91-N91</f>
        <v>0</v>
      </c>
      <c r="Q91" s="62">
        <f>IFERROR(((M91-N91*POWER(O91,AF38)-(P91))),0)</f>
        <v>0</v>
      </c>
      <c r="R91" s="85">
        <f t="shared" si="75"/>
        <v>0</v>
      </c>
      <c r="S91" s="62">
        <f>R91*$N$38*$M$38</f>
        <v>0</v>
      </c>
      <c r="T91" s="58"/>
      <c r="U91" s="58"/>
      <c r="V91" s="58"/>
      <c r="W91" s="57"/>
      <c r="X91" s="57"/>
    </row>
    <row r="92" spans="1:24" ht="14.5" x14ac:dyDescent="0.35">
      <c r="L92" s="124" t="str">
        <f>$B$23&amp;" "&amp;C27</f>
        <v>Sorgho-Arachide N</v>
      </c>
      <c r="M92" s="202">
        <f>M72+0.275+1.297*N36/N34</f>
        <v>10.637194946679905</v>
      </c>
      <c r="N92" s="202">
        <f>N72+0.167+0.17*N36/N34</f>
        <v>1.8651949466799072</v>
      </c>
      <c r="O92" s="202">
        <v>0.95299999999999996</v>
      </c>
      <c r="P92" s="111">
        <f>M92-N92</f>
        <v>8.7719999999999985</v>
      </c>
      <c r="Q92" s="62">
        <f>IFERROR(((M92-N92*POWER(O92,AC39)-(P92))),0)</f>
        <v>1.8373235886753676</v>
      </c>
      <c r="R92" s="85">
        <f t="shared" si="75"/>
        <v>1837.3235886753675</v>
      </c>
      <c r="S92" s="62">
        <f>R92*$N$39*$M$39</f>
        <v>1010527.9737714522</v>
      </c>
      <c r="T92" s="134">
        <f>S92+S93+S94+S95</f>
        <v>2113802.0489833271</v>
      </c>
      <c r="U92" s="107">
        <f>T55</f>
        <v>75816.018822970407</v>
      </c>
      <c r="V92" s="134">
        <f>T92-U92</f>
        <v>2037986.0301603568</v>
      </c>
      <c r="W92" s="133">
        <f>R92+R93+R94+R95</f>
        <v>3843.2764526969586</v>
      </c>
      <c r="X92" s="133">
        <f>IF(OR(M39=0,M39=1),$V$92,IF(M39&lt;1,$V$92/M39,IF(M39&gt;1,$V$92/M39,0)))</f>
        <v>2037986.0301603568</v>
      </c>
    </row>
    <row r="93" spans="1:24" ht="14.5" x14ac:dyDescent="0.35">
      <c r="L93" s="124" t="str">
        <f>$B$23&amp;" "&amp;D27</f>
        <v>Sorgho-Arachide P2O5</v>
      </c>
      <c r="M93" s="202">
        <f>M73-0.988+1.262*$N$36/$N$34</f>
        <v>8.2140819039753055</v>
      </c>
      <c r="N93" s="202">
        <f>N73-0.399+0.363*$N$36/$N$34</f>
        <v>2.0180819039753057</v>
      </c>
      <c r="O93" s="202">
        <v>0.85599999999999998</v>
      </c>
      <c r="P93" s="58">
        <f t="shared" ref="P93:P99" si="77">M93-N93</f>
        <v>6.1959999999999997</v>
      </c>
      <c r="Q93" s="62">
        <f>IFERROR(((M93-N93*POWER(O93,AD39)-(P93))),0)</f>
        <v>2.0059528640215909</v>
      </c>
      <c r="R93" s="85">
        <f t="shared" si="75"/>
        <v>2005.9528640215908</v>
      </c>
      <c r="S93" s="62">
        <f t="shared" ref="S93:S95" si="78">R93*$N$39*$M$39</f>
        <v>1103274.0752118749</v>
      </c>
      <c r="T93" s="58"/>
      <c r="U93" s="58"/>
      <c r="V93" s="58"/>
      <c r="W93" s="57"/>
      <c r="X93" s="57"/>
    </row>
    <row r="94" spans="1:24" ht="14.5" x14ac:dyDescent="0.35">
      <c r="L94" s="124" t="str">
        <f>$B$23&amp;" "&amp;E27</f>
        <v>Sorgho-Arachide K2O</v>
      </c>
      <c r="M94" s="202">
        <f>M74-0.346+1.076*$N$36/$N$34</f>
        <v>7.7157375539225193</v>
      </c>
      <c r="N94" s="202">
        <v>0</v>
      </c>
      <c r="O94" s="202">
        <v>0.90700000000000003</v>
      </c>
      <c r="P94" s="58">
        <f t="shared" si="77"/>
        <v>7.7157375539225193</v>
      </c>
      <c r="Q94" s="62">
        <f>IFERROR(((M94-N94*POWER(O94,AE39)-(P94))),0)</f>
        <v>0</v>
      </c>
      <c r="R94" s="85">
        <f t="shared" si="75"/>
        <v>0</v>
      </c>
      <c r="S94" s="62">
        <f t="shared" si="78"/>
        <v>0</v>
      </c>
      <c r="T94" s="58"/>
      <c r="U94" s="58"/>
      <c r="V94" s="58"/>
      <c r="W94" s="57"/>
      <c r="X94" s="57"/>
    </row>
    <row r="95" spans="1:24" x14ac:dyDescent="0.3">
      <c r="L95" s="124" t="str">
        <f>$B$23&amp;" "&amp;F27</f>
        <v>Sorgho-Arachide xxx</v>
      </c>
      <c r="M95" s="187">
        <v>0</v>
      </c>
      <c r="N95" s="187">
        <v>0</v>
      </c>
      <c r="O95" s="187">
        <v>0</v>
      </c>
      <c r="P95" s="58">
        <f t="shared" si="77"/>
        <v>0</v>
      </c>
      <c r="Q95" s="62">
        <f>IFERROR(((M95-N95*POWER(O95,AF39)-(P95))),0)</f>
        <v>0</v>
      </c>
      <c r="R95" s="85">
        <f t="shared" si="75"/>
        <v>0</v>
      </c>
      <c r="S95" s="62">
        <f t="shared" si="78"/>
        <v>0</v>
      </c>
      <c r="T95" s="58"/>
      <c r="U95" s="58"/>
      <c r="V95" s="58"/>
      <c r="W95" s="57"/>
      <c r="X95" s="57"/>
    </row>
    <row r="96" spans="1:24" ht="14.5" x14ac:dyDescent="0.35">
      <c r="L96" s="124" t="str">
        <f>$B$24&amp;" "&amp;C27</f>
        <v>Maïs-Arachide N</v>
      </c>
      <c r="M96" s="202">
        <f>M68-0.284+0.75*N36/N33</f>
        <v>6.3384102860304932</v>
      </c>
      <c r="N96" s="202">
        <f>N68-0.062+0.213*N36/N33</f>
        <v>2.6688102860304928</v>
      </c>
      <c r="O96" s="202">
        <f>O68+0.014</f>
        <v>0.98099999999999998</v>
      </c>
      <c r="P96" s="58">
        <f t="shared" si="77"/>
        <v>3.6696000000000004</v>
      </c>
      <c r="Q96" s="62">
        <f>IFERROR(((M96-N96*POWER(O96,AC40)-(P96))),0)</f>
        <v>2.2768713215750362</v>
      </c>
      <c r="R96" s="85">
        <f t="shared" si="75"/>
        <v>2276.8713215750363</v>
      </c>
      <c r="S96" s="62">
        <f>R96*$N$40*$M$40</f>
        <v>1138435.6607875181</v>
      </c>
      <c r="T96" s="134">
        <f>S96+S97+S98+S99</f>
        <v>1554533.4547828385</v>
      </c>
      <c r="U96" s="107">
        <f>T56</f>
        <v>67822.795789676544</v>
      </c>
      <c r="V96" s="134">
        <f>T96-U96</f>
        <v>1486710.658993162</v>
      </c>
      <c r="W96" s="133">
        <f>R96+R97+R98+R99</f>
        <v>3109.0669095656767</v>
      </c>
      <c r="X96" s="133">
        <f>IF(OR(M40=0,M40=1),$V$96,IF(M40&lt;1,$V$96/M40,IF(M40&gt;1,$V$96/M40,0)))</f>
        <v>1486710.658993162</v>
      </c>
    </row>
    <row r="97" spans="11:24" ht="14.5" x14ac:dyDescent="0.35">
      <c r="L97" s="124" t="str">
        <f>$B$24&amp;" "&amp;D27</f>
        <v>Maïs-Arachide P2O5</v>
      </c>
      <c r="M97" s="202">
        <f>M69-0.936+0.794*N36/N33</f>
        <v>6.4858137724121407</v>
      </c>
      <c r="N97" s="202">
        <f>N69-0.262+0.078*N36/N33</f>
        <v>0.84201377241214004</v>
      </c>
      <c r="O97" s="202">
        <f>O69-0.068</f>
        <v>0.82699999999999996</v>
      </c>
      <c r="P97" s="58">
        <f t="shared" si="77"/>
        <v>5.6438000000000006</v>
      </c>
      <c r="Q97" s="62">
        <f>IFERROR(((M97-N97*POWER(O97,AD40)-(P97))),0)</f>
        <v>0.83219558799064064</v>
      </c>
      <c r="R97" s="85">
        <f t="shared" si="75"/>
        <v>832.19558799064066</v>
      </c>
      <c r="S97" s="62">
        <f t="shared" ref="S97:S99" si="79">R97*$N$40*$M$40</f>
        <v>416097.79399532033</v>
      </c>
      <c r="T97" s="58"/>
      <c r="U97" s="58"/>
      <c r="V97" s="58"/>
      <c r="W97" s="57"/>
      <c r="X97" s="57"/>
    </row>
    <row r="98" spans="11:24" ht="14.5" customHeight="1" x14ac:dyDescent="0.35">
      <c r="L98" s="124" t="str">
        <f>$B$24&amp;" "&amp;E27</f>
        <v>Maïs-Arachide K2O</v>
      </c>
      <c r="M98" s="202">
        <v>0</v>
      </c>
      <c r="N98" s="202">
        <v>0</v>
      </c>
      <c r="O98" s="202">
        <v>0</v>
      </c>
      <c r="P98" s="58">
        <f t="shared" si="77"/>
        <v>0</v>
      </c>
      <c r="Q98" s="62">
        <f>IFERROR(((M98-N98*POWER(O98,AE40)-(P98))),0)</f>
        <v>0</v>
      </c>
      <c r="R98" s="85">
        <f t="shared" si="75"/>
        <v>0</v>
      </c>
      <c r="S98" s="62">
        <f t="shared" si="79"/>
        <v>0</v>
      </c>
      <c r="T98" s="58"/>
      <c r="U98" s="58"/>
      <c r="V98" s="58"/>
      <c r="W98" s="57"/>
      <c r="X98" s="57"/>
    </row>
    <row r="99" spans="11:24" x14ac:dyDescent="0.3">
      <c r="L99" s="124" t="str">
        <f>$B$24&amp;" "&amp;F27</f>
        <v>Maïs-Arachide xxx</v>
      </c>
      <c r="M99" s="187">
        <v>0</v>
      </c>
      <c r="N99" s="187">
        <v>0</v>
      </c>
      <c r="O99" s="187">
        <v>0</v>
      </c>
      <c r="P99" s="58">
        <f t="shared" si="77"/>
        <v>0</v>
      </c>
      <c r="Q99" s="62">
        <f>IFERROR(((M99-N99*POWER(O99,AF40)-(P99))),0)</f>
        <v>0</v>
      </c>
      <c r="R99" s="85">
        <f t="shared" si="75"/>
        <v>0</v>
      </c>
      <c r="S99" s="62">
        <f t="shared" si="79"/>
        <v>0</v>
      </c>
      <c r="T99" s="58"/>
      <c r="U99" s="58"/>
      <c r="V99" s="58"/>
      <c r="W99" s="57"/>
      <c r="X99" s="57"/>
    </row>
    <row r="100" spans="11:24" x14ac:dyDescent="0.3">
      <c r="L100" s="57"/>
      <c r="M100" s="57"/>
      <c r="N100" s="57"/>
      <c r="O100" s="57"/>
      <c r="P100" s="57"/>
      <c r="Q100" s="57"/>
      <c r="R100" s="57"/>
      <c r="S100" s="58"/>
      <c r="T100" s="58"/>
      <c r="U100" s="58"/>
      <c r="V100" s="58"/>
      <c r="W100" s="57"/>
      <c r="X100" s="57"/>
    </row>
    <row r="101" spans="11:24" x14ac:dyDescent="0.3">
      <c r="T101" s="36"/>
      <c r="U101" s="36"/>
      <c r="V101" s="36"/>
    </row>
    <row r="104" spans="11:24" x14ac:dyDescent="0.3">
      <c r="K104" s="147"/>
      <c r="L104" s="4" t="s">
        <v>154</v>
      </c>
    </row>
    <row r="108" spans="11:24" x14ac:dyDescent="0.3">
      <c r="T108" s="58" t="s">
        <v>155</v>
      </c>
      <c r="U108" s="58"/>
      <c r="V108" s="58"/>
    </row>
    <row r="109" spans="11:24" x14ac:dyDescent="0.3">
      <c r="T109" s="58" t="s">
        <v>156</v>
      </c>
      <c r="U109" s="58" t="s">
        <v>157</v>
      </c>
      <c r="V109" s="58" t="s">
        <v>158</v>
      </c>
    </row>
    <row r="110" spans="11:24" x14ac:dyDescent="0.3">
      <c r="T110" s="113">
        <f>SUM(T64:T99)</f>
        <v>15072484.175749721</v>
      </c>
      <c r="U110" s="113">
        <f>SUM(U64:U99)</f>
        <v>569125.25979754969</v>
      </c>
      <c r="V110" s="113">
        <f>SUM(V64:V96)</f>
        <v>14503358.915952172</v>
      </c>
    </row>
  </sheetData>
  <sheetProtection algorithmName="SHA-512" hashValue="K2iQiUqszE9bjPA2TOXpw8+GXruNZoIGxtC4w2spBlHbvnvlRIf2Egkx1BuD5wl4aVF7TkNdPd2ru+4wRTxXug==" saltValue="p7hbFvVOY5H/khvWXV00iQ==" spinCount="100000" sheet="1" objects="1" scenarios="1"/>
  <protectedRanges>
    <protectedRange password="C75C" sqref="D22" name="Range1"/>
  </protectedRanges>
  <mergeCells count="28">
    <mergeCell ref="B75:I75"/>
    <mergeCell ref="B77:I77"/>
    <mergeCell ref="B79:I79"/>
    <mergeCell ref="B81:I81"/>
    <mergeCell ref="C10:D10"/>
    <mergeCell ref="C12:D12"/>
    <mergeCell ref="C11:D11"/>
    <mergeCell ref="B26:G26"/>
    <mergeCell ref="B14:D14"/>
    <mergeCell ref="B35:C35"/>
    <mergeCell ref="B37:C37"/>
    <mergeCell ref="B43:G43"/>
    <mergeCell ref="C68:D68"/>
    <mergeCell ref="C44:G44"/>
    <mergeCell ref="B67:D67"/>
    <mergeCell ref="B56:D56"/>
    <mergeCell ref="Y16:AB16"/>
    <mergeCell ref="T30:AB30"/>
    <mergeCell ref="N16:X16"/>
    <mergeCell ref="L62:R62"/>
    <mergeCell ref="L30:N30"/>
    <mergeCell ref="AC30:AF30"/>
    <mergeCell ref="S62:V62"/>
    <mergeCell ref="W62:X62"/>
    <mergeCell ref="W52:X52"/>
    <mergeCell ref="U48:U54"/>
    <mergeCell ref="O30:S30"/>
    <mergeCell ref="N46:U4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101600</xdr:rowOff>
                  </from>
                  <to>
                    <xdr:col>11</xdr:col>
                    <xdr:colOff>1663700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38</xdr:row>
                    <xdr:rowOff>82550</xdr:rowOff>
                  </from>
                  <to>
                    <xdr:col>1</xdr:col>
                    <xdr:colOff>1663700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425450</xdr:colOff>
                    <xdr:row>38</xdr:row>
                    <xdr:rowOff>76200</xdr:rowOff>
                  </from>
                  <to>
                    <xdr:col>3</xdr:col>
                    <xdr:colOff>755650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70</xdr:row>
                    <xdr:rowOff>101600</xdr:rowOff>
                  </from>
                  <to>
                    <xdr:col>1</xdr:col>
                    <xdr:colOff>1663700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1758950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54D99C-D56F-482F-A6C5-C682BE7380E5}">
  <ds:schemaRefs>
    <ds:schemaRef ds:uri="http://www.w3.org/XML/1998/namespace"/>
    <ds:schemaRef ds:uri="http://purl.org/dc/dcmitype/"/>
    <ds:schemaRef ds:uri="http://schemas.microsoft.com/office/2006/documentManagement/types"/>
    <ds:schemaRef ds:uri="6a2a5ef5-46a6-42c7-b9b9-d957781a302b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fcaa660-3182-4f27-8fa7-16736e9283fd"/>
  </ds:schemaRefs>
</ds:datastoreItem>
</file>

<file path=customXml/itemProps2.xml><?xml version="1.0" encoding="utf-8"?>
<ds:datastoreItem xmlns:ds="http://schemas.openxmlformats.org/officeDocument/2006/customXml" ds:itemID="{1C61A596-44DF-41F9-AE1C-2476A263EB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85EF49-AE7D-4B2D-9E6F-5FC9855690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2026-01-06T20:30:12Z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  <property fmtid="{D5CDD505-2E9C-101B-9397-08002B2CF9AE}" pid="3" name="MediaServiceImageTags">
    <vt:lpwstr/>
  </property>
</Properties>
</file>