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Ethiopia FOTs 31 Mar 16/New format/"/>
    </mc:Choice>
  </mc:AlternateContent>
  <xr:revisionPtr revIDLastSave="0" documentId="8_{4E63BCF5-9C71-4835-B1AE-8603122E643C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Optimization'!$O$32:$S$37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Optimization'!$O$32:$S$37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Optimization'!$AB$32:$AD$37</definedName>
    <definedName name="solver_lhs4" localSheetId="1" hidden="1">'Fertilizer Optimization'!$T$52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Optimization'!$O$18:$S$23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Optimization'!$U$52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Optimization'!$U$52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Optimization'!$T$18:$X$23</definedName>
    <definedName name="solver_rhs20" localSheetId="1" hidden="1">'Fertilizer Optimization'!$U$52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Optimization'!$Y$18:$AA$23</definedName>
    <definedName name="solver_rhs4" localSheetId="1" hidden="1">'Fertilizer Optimization'!$U$52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2" l="1"/>
  <c r="T21" i="2"/>
  <c r="U21" i="2"/>
  <c r="T20" i="2"/>
  <c r="T18" i="2"/>
  <c r="P71" i="2" l="1"/>
  <c r="P68" i="2"/>
  <c r="Q11" i="2" l="1"/>
  <c r="R10" i="2"/>
  <c r="R11" i="2"/>
  <c r="S12" i="2"/>
  <c r="T11" i="2" l="1"/>
  <c r="Q46" i="2" s="1"/>
  <c r="P72" i="2"/>
  <c r="X21" i="2"/>
  <c r="X20" i="2"/>
  <c r="X19" i="2"/>
  <c r="X18" i="2"/>
  <c r="W23" i="2"/>
  <c r="W22" i="2"/>
  <c r="W21" i="2"/>
  <c r="W20" i="2"/>
  <c r="W19" i="2"/>
  <c r="W18" i="2"/>
  <c r="V23" i="2"/>
  <c r="V22" i="2"/>
  <c r="V21" i="2"/>
  <c r="V20" i="2"/>
  <c r="V19" i="2"/>
  <c r="V18" i="2"/>
  <c r="U18" i="2"/>
  <c r="U23" i="2" l="1"/>
  <c r="U22" i="2"/>
  <c r="U19" i="2"/>
  <c r="T22" i="2" l="1"/>
  <c r="T23" i="2"/>
  <c r="P76" i="2"/>
  <c r="P73" i="2"/>
  <c r="P65" i="2" l="1"/>
  <c r="P62" i="2"/>
  <c r="S13" i="2" l="1"/>
  <c r="S11" i="2"/>
  <c r="S10" i="2"/>
  <c r="S9" i="2"/>
  <c r="R9" i="2"/>
  <c r="R12" i="2"/>
  <c r="R13" i="2"/>
  <c r="Q9" i="2"/>
  <c r="Q10" i="2" l="1"/>
  <c r="Q12" i="2"/>
  <c r="Q13" i="2"/>
  <c r="P60" i="2" l="1"/>
  <c r="P61" i="2"/>
  <c r="G44" i="2"/>
  <c r="C44" i="2"/>
  <c r="F44" i="2"/>
  <c r="E44" i="2"/>
  <c r="D44" i="2"/>
  <c r="X23" i="2"/>
  <c r="X22" i="2"/>
  <c r="U20" i="2"/>
  <c r="G49" i="2"/>
  <c r="G45" i="2"/>
  <c r="G46" i="2"/>
  <c r="G47" i="2"/>
  <c r="G48" i="2"/>
  <c r="G43" i="2"/>
  <c r="C49" i="2"/>
  <c r="C22" i="2"/>
  <c r="P77" i="2" l="1"/>
  <c r="P75" i="2"/>
  <c r="P74" i="2"/>
  <c r="C12" i="2" l="1"/>
  <c r="M36" i="2"/>
  <c r="M35" i="2"/>
  <c r="V35" i="2" s="1"/>
  <c r="M34" i="2"/>
  <c r="V34" i="2" s="1"/>
  <c r="M33" i="2"/>
  <c r="M32" i="2"/>
  <c r="T13" i="2"/>
  <c r="N13" i="2"/>
  <c r="P13" i="2" s="1"/>
  <c r="T9" i="2"/>
  <c r="O46" i="2" s="1"/>
  <c r="V33" i="2" l="1"/>
  <c r="T33" i="2"/>
  <c r="T32" i="2"/>
  <c r="V32" i="2"/>
  <c r="W36" i="2"/>
  <c r="U36" i="2"/>
  <c r="X36" i="2"/>
  <c r="V36" i="2"/>
  <c r="AA36" i="2"/>
  <c r="Z36" i="2"/>
  <c r="Y36" i="2"/>
  <c r="T36" i="2"/>
  <c r="Z35" i="2"/>
  <c r="X35" i="2"/>
  <c r="T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T12" i="2"/>
  <c r="R47" i="2" s="1"/>
  <c r="N33" i="2"/>
  <c r="N34" i="2"/>
  <c r="N35" i="2"/>
  <c r="N36" i="2"/>
  <c r="N37" i="2"/>
  <c r="N32" i="2"/>
  <c r="U52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C45" i="2"/>
  <c r="C46" i="2"/>
  <c r="C47" i="2"/>
  <c r="C48" i="2"/>
  <c r="AC36" i="2" l="1"/>
  <c r="X74" i="2" s="1"/>
  <c r="P46" i="2"/>
  <c r="P50" i="2"/>
  <c r="AD36" i="2"/>
  <c r="O52" i="2"/>
  <c r="S52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T46" i="2" l="1"/>
  <c r="U60" i="2" s="1"/>
  <c r="T49" i="2"/>
  <c r="U69" i="2" s="1"/>
  <c r="T50" i="2"/>
  <c r="U72" i="2" s="1"/>
  <c r="T48" i="2"/>
  <c r="U66" i="2" s="1"/>
  <c r="T47" i="2"/>
  <c r="U63" i="2" s="1"/>
  <c r="Q52" i="2"/>
  <c r="P52" i="2"/>
  <c r="R52" i="2"/>
  <c r="M37" i="2"/>
  <c r="P63" i="2"/>
  <c r="P64" i="2"/>
  <c r="W37" i="2" l="1"/>
  <c r="X37" i="2"/>
  <c r="P39" i="2"/>
  <c r="D50" i="2" s="1"/>
  <c r="O39" i="2"/>
  <c r="C50" i="2" s="1"/>
  <c r="Q39" i="2"/>
  <c r="E50" i="2" s="1"/>
  <c r="R39" i="2"/>
  <c r="F50" i="2" s="1"/>
  <c r="S39" i="2"/>
  <c r="G50" i="2" s="1"/>
  <c r="AA37" i="2"/>
  <c r="Y37" i="2"/>
  <c r="U37" i="2"/>
  <c r="Z37" i="2"/>
  <c r="V37" i="2"/>
  <c r="T37" i="2"/>
  <c r="T51" i="2"/>
  <c r="M38" i="2"/>
  <c r="AD35" i="2"/>
  <c r="AD34" i="2"/>
  <c r="AD33" i="2"/>
  <c r="AD32" i="2"/>
  <c r="AC32" i="2"/>
  <c r="X62" i="2" s="1"/>
  <c r="AB32" i="2"/>
  <c r="AD37" i="2" l="1"/>
  <c r="W61" i="2"/>
  <c r="Q61" i="2" s="1"/>
  <c r="R61" i="2" s="1"/>
  <c r="Q60" i="2"/>
  <c r="R60" i="2" s="1"/>
  <c r="U75" i="2"/>
  <c r="U89" i="2" s="1"/>
  <c r="Q62" i="2"/>
  <c r="R62" i="2" s="1"/>
  <c r="S62" i="2" s="1"/>
  <c r="T52" i="2"/>
  <c r="AB35" i="2"/>
  <c r="AB36" i="2"/>
  <c r="Q72" i="2" s="1"/>
  <c r="R72" i="2" s="1"/>
  <c r="AB33" i="2"/>
  <c r="AB34" i="2"/>
  <c r="AC34" i="2"/>
  <c r="AB37" i="2"/>
  <c r="AC33" i="2"/>
  <c r="AC37" i="2"/>
  <c r="X77" i="2" s="1"/>
  <c r="AC35" i="2"/>
  <c r="X71" i="2" s="1"/>
  <c r="Q71" i="2" s="1"/>
  <c r="R71" i="2" s="1"/>
  <c r="S71" i="2" s="1"/>
  <c r="S60" i="2" l="1"/>
  <c r="Y60" i="2"/>
  <c r="C54" i="2" s="1"/>
  <c r="S72" i="2"/>
  <c r="Q76" i="2"/>
  <c r="R76" i="2" s="1"/>
  <c r="S76" i="2" s="1"/>
  <c r="Q77" i="2"/>
  <c r="R77" i="2" s="1"/>
  <c r="S77" i="2" s="1"/>
  <c r="X68" i="2"/>
  <c r="Q68" i="2" s="1"/>
  <c r="R68" i="2" s="1"/>
  <c r="S68" i="2" s="1"/>
  <c r="X65" i="2"/>
  <c r="Q65" i="2" s="1"/>
  <c r="R65" i="2" s="1"/>
  <c r="S65" i="2" s="1"/>
  <c r="Q74" i="2"/>
  <c r="R74" i="2" s="1"/>
  <c r="S74" i="2" s="1"/>
  <c r="W70" i="2"/>
  <c r="Q70" i="2" s="1"/>
  <c r="Q69" i="2"/>
  <c r="R69" i="2" s="1"/>
  <c r="Q75" i="2"/>
  <c r="R75" i="2" s="1"/>
  <c r="Q66" i="2"/>
  <c r="R66" i="2" s="1"/>
  <c r="W67" i="2"/>
  <c r="Q67" i="2" s="1"/>
  <c r="W64" i="2"/>
  <c r="Q64" i="2" s="1"/>
  <c r="Q63" i="2"/>
  <c r="R63" i="2" s="1"/>
  <c r="S61" i="2"/>
  <c r="Q73" i="2"/>
  <c r="R73" i="2" s="1"/>
  <c r="S73" i="2" s="1"/>
  <c r="S66" i="2" l="1"/>
  <c r="S63" i="2"/>
  <c r="S75" i="2"/>
  <c r="T75" i="2" s="1"/>
  <c r="Y75" i="2"/>
  <c r="C59" i="2" s="1"/>
  <c r="Y72" i="2"/>
  <c r="C58" i="2" s="1"/>
  <c r="T60" i="2"/>
  <c r="V60" i="2" s="1"/>
  <c r="S69" i="2"/>
  <c r="T72" i="2"/>
  <c r="R70" i="2"/>
  <c r="Y69" i="2" s="1"/>
  <c r="R67" i="2"/>
  <c r="Y66" i="2" s="1"/>
  <c r="R64" i="2"/>
  <c r="C56" i="2" l="1"/>
  <c r="Y63" i="2"/>
  <c r="C55" i="2" s="1"/>
  <c r="V72" i="2"/>
  <c r="Z72" i="2" s="1"/>
  <c r="D58" i="2" s="1"/>
  <c r="C57" i="2"/>
  <c r="S70" i="2"/>
  <c r="T69" i="2" s="1"/>
  <c r="Z60" i="2"/>
  <c r="D54" i="2" s="1"/>
  <c r="V75" i="2"/>
  <c r="Z75" i="2" s="1"/>
  <c r="D59" i="2" s="1"/>
  <c r="S67" i="2"/>
  <c r="T66" i="2" s="1"/>
  <c r="S64" i="2"/>
  <c r="T63" i="2" s="1"/>
  <c r="V63" i="2" l="1"/>
  <c r="Z63" i="2" s="1"/>
  <c r="D55" i="2" s="1"/>
  <c r="V66" i="2"/>
  <c r="Z66" i="2" s="1"/>
  <c r="D56" i="2" s="1"/>
  <c r="V69" i="2"/>
  <c r="V89" i="2" l="1"/>
  <c r="C62" i="2" s="1"/>
  <c r="Z69" i="2"/>
  <c r="D57" i="2" s="1"/>
  <c r="T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<sst xmlns="http://schemas.openxmlformats.org/spreadsheetml/2006/main" count="192" uniqueCount="132">
  <si>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</si>
  <si>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</si>
  <si>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</si>
  <si>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</si>
  <si>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</si>
  <si>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</si>
  <si>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</si>
  <si>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</si>
  <si>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</si>
  <si>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</si>
  <si>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</si>
  <si>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</si>
  <si>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</si>
  <si>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</si>
  <si>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</si>
  <si>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</si>
  <si>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</si>
  <si>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</si>
  <si>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</si>
  <si>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</si>
  <si>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</si>
  <si>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</si>
  <si>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</si>
  <si>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</si>
  <si>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</si>
  <si>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</si>
  <si>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</si>
  <si>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</si>
  <si>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</si>
  <si>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</si>
  <si>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</si>
  <si>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</si>
  <si>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</si>
  <si>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</si>
  <si>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</si>
  <si>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</si>
  <si>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</si>
  <si>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</si>
  <si>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</si>
  <si>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</si>
  <si>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</si>
  <si>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</si>
  <si>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</si>
  <si>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</si>
  <si>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</si>
  <si>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</si>
  <si>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</si>
  <si>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</si>
  <si>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</si>
  <si>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</si>
  <si>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</si>
  <si>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</si>
  <si>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</si>
  <si>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</si>
  <si>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</si>
  <si>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</si>
  <si>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</si>
  <si>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</si>
  <si>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</si>
  <si>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</si>
  <si>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</si>
  <si>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</si>
  <si>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Amt Req P</t>
  </si>
  <si>
    <t>P Amt Req K</t>
  </si>
  <si>
    <t>Price/50 kg bag ¶*</t>
  </si>
  <si>
    <t>N Sum</t>
  </si>
  <si>
    <t>P Sum</t>
  </si>
  <si>
    <t>Fertilizer Totals</t>
  </si>
  <si>
    <t>K Sum</t>
  </si>
  <si>
    <t>Fertilizer Application Rates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</si>
  <si>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</si>
  <si>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</si>
  <si>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</si>
  <si>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</si>
  <si>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</si>
  <si>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</si>
  <si>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</si>
  <si>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</si>
  <si>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</si>
  <si>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Total hectares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</si>
  <si>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</si>
  <si>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</si>
  <si>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</si>
  <si>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</si>
  <si>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</si>
  <si>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</si>
  <si>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</si>
  <si>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</si>
  <si>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</si>
  <si>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</si>
  <si>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</si>
  <si>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</si>
  <si>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</si>
  <si>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</si>
  <si>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</si>
  <si>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</si>
  <si>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</si>
  <si>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Total Maxes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</si>
  <si>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</si>
  <si>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</si>
  <si>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</si>
  <si>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</si>
  <si>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</si>
  <si>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</si>
  <si>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</si>
  <si>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Fertilizer Requirements</t>
  </si>
  <si>
    <t>Output Variable - kg/Ha</t>
  </si>
  <si>
    <t>Coeff a</t>
  </si>
  <si>
    <t>Coeff b</t>
  </si>
  <si>
    <t>Coeff c</t>
  </si>
  <si>
    <t>Credits: Negash Demissie et al. of the Ethiopian Insitute of Agricultural Research and Charles Wortmann, Jim Jansen, and Matthew Stockton, University of Nebraska-Lincoln</t>
  </si>
  <si>
    <t>For information, contact: Negash Demissie - negash34@yahoo.com</t>
  </si>
  <si>
    <t>Acknowledgements: support of personnel from the Ethiopian Institute of Agricultural Research and funding support from the Alliance for a  Green Revolution in Africa--Soil Health Programme. Technical backstopping from University of Nebraska-Lincoln and CABI.</t>
  </si>
  <si>
    <t>Teff</t>
  </si>
  <si>
    <t>Teff N</t>
  </si>
  <si>
    <t>Teff P</t>
  </si>
  <si>
    <t>Teff K</t>
  </si>
  <si>
    <t>Rice N</t>
  </si>
  <si>
    <t>Rice P</t>
  </si>
  <si>
    <t>Rice K</t>
  </si>
  <si>
    <t>Rice</t>
  </si>
  <si>
    <t>Sorghum N</t>
  </si>
  <si>
    <t>Sorhum P</t>
  </si>
  <si>
    <t>Sorghum K</t>
  </si>
  <si>
    <t>Maize N</t>
  </si>
  <si>
    <t>Maize P</t>
  </si>
  <si>
    <t>Maize K</t>
  </si>
  <si>
    <t>xxxx</t>
  </si>
  <si>
    <t>Sorgum</t>
  </si>
  <si>
    <t>Maize</t>
  </si>
  <si>
    <t>Sorghum</t>
  </si>
  <si>
    <t>© 2015, The Board of Regents of the University of Nebraska.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</si>
</sst>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/>
    </xf>
    <xf numFmtId="3" fontId="5" fillId="5" borderId="3" xfId="1" applyNumberFormat="1" applyFont="1" applyFill="1" applyBorder="1" applyAlignment="1">
      <alignment horizontal="center"/>
    </xf>
    <xf numFmtId="3" fontId="5" fillId="5" borderId="9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10" xfId="1" applyFon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4" fillId="6" borderId="0" xfId="0" applyFont="1" applyFill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5" fontId="14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4" fillId="0" borderId="6" xfId="0" applyFont="1" applyBorder="1" applyAlignment="1">
      <alignment horizontal="center"/>
    </xf>
    <xf numFmtId="165" fontId="14" fillId="0" borderId="6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165" fontId="14" fillId="0" borderId="8" xfId="4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7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7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5" fillId="6" borderId="0" xfId="0" applyFont="1" applyFill="1"/>
    <xf numFmtId="2" fontId="14" fillId="0" borderId="8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1" xfId="0" applyFont="1" applyBorder="1"/>
    <xf numFmtId="166" fontId="14" fillId="0" borderId="6" xfId="0" applyNumberFormat="1" applyFont="1" applyBorder="1" applyAlignment="1" applyProtection="1">
      <alignment horizontal="center"/>
      <protection locked="0"/>
    </xf>
    <xf numFmtId="166" fontId="14" fillId="0" borderId="0" xfId="0" applyNumberFormat="1" applyFont="1" applyAlignment="1" applyProtection="1">
      <alignment horizontal="center"/>
      <protection locked="0"/>
    </xf>
    <xf numFmtId="1" fontId="14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166" fontId="14" fillId="0" borderId="6" xfId="0" applyNumberFormat="1" applyFont="1" applyBorder="1" applyAlignment="1" applyProtection="1">
      <alignment horizontal="center"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1" xfId="0" applyFont="1" applyBorder="1"/>
    <xf numFmtId="2" fontId="14" fillId="0" borderId="11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3" fontId="14" fillId="0" borderId="11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4" fillId="0" borderId="0" xfId="0" applyNumberFormat="1" applyFont="1"/>
    <xf numFmtId="0" fontId="14" fillId="0" borderId="14" xfId="0" applyFont="1" applyBorder="1"/>
    <xf numFmtId="3" fontId="2" fillId="6" borderId="0" xfId="1" applyNumberFormat="1" applyFill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3" fontId="14" fillId="0" borderId="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/>
    </xf>
    <xf numFmtId="164" fontId="2" fillId="6" borderId="0" xfId="1" applyNumberFormat="1" applyFill="1"/>
    <xf numFmtId="3" fontId="14" fillId="0" borderId="9" xfId="0" quotePrefix="1" applyNumberFormat="1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/>
    <xf numFmtId="0" fontId="17" fillId="0" borderId="0" xfId="0" applyFont="1" applyAlignment="1">
      <alignment horizontal="right" vertical="center"/>
    </xf>
    <xf numFmtId="166" fontId="14" fillId="0" borderId="6" xfId="0" applyNumberFormat="1" applyFont="1" applyBorder="1" applyAlignment="1">
      <alignment horizontal="center"/>
    </xf>
    <xf numFmtId="166" fontId="14" fillId="0" borderId="7" xfId="0" applyNumberFormat="1" applyFont="1" applyBorder="1" applyAlignment="1">
      <alignment horizontal="center"/>
    </xf>
    <xf numFmtId="0" fontId="14" fillId="0" borderId="15" xfId="0" applyFont="1" applyBorder="1"/>
    <xf numFmtId="166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4" fontId="14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4" fillId="0" borderId="14" xfId="4" applyNumberFormat="1" applyFont="1" applyFill="1" applyBorder="1" applyAlignment="1">
      <alignment horizontal="center"/>
    </xf>
    <xf numFmtId="165" fontId="14" fillId="0" borderId="5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7" xfId="4" applyNumberFormat="1" applyFont="1" applyFill="1" applyBorder="1" applyAlignment="1">
      <alignment horizontal="center"/>
    </xf>
    <xf numFmtId="165" fontId="14" fillId="0" borderId="15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3" fontId="14" fillId="0" borderId="7" xfId="0" quotePrefix="1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3" fontId="14" fillId="0" borderId="5" xfId="0" quotePrefix="1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6" fontId="14" fillId="0" borderId="3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14" fillId="0" borderId="0" xfId="0" quotePrefix="1" applyFont="1"/>
    <xf numFmtId="165" fontId="14" fillId="0" borderId="6" xfId="4" applyNumberFormat="1" applyFont="1" applyFill="1" applyBorder="1" applyAlignment="1">
      <alignment horizontal="center"/>
    </xf>
    <xf numFmtId="164" fontId="8" fillId="6" borderId="0" xfId="1" applyNumberFormat="1" applyFont="1" applyFill="1"/>
    <xf numFmtId="1" fontId="5" fillId="5" borderId="2" xfId="1" applyNumberFormat="1" applyFont="1" applyFill="1" applyBorder="1" applyAlignment="1">
      <alignment horizontal="left"/>
    </xf>
    <xf numFmtId="0" fontId="4" fillId="5" borderId="10" xfId="1" applyFont="1" applyFill="1" applyBorder="1" applyAlignment="1">
      <alignment horizontal="left"/>
    </xf>
    <xf numFmtId="3" fontId="5" fillId="5" borderId="2" xfId="1" applyNumberFormat="1" applyFont="1" applyFill="1" applyBorder="1" applyAlignment="1">
      <alignment horizontal="left"/>
    </xf>
    <xf numFmtId="0" fontId="5" fillId="0" borderId="7" xfId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4" fillId="4" borderId="3" xfId="1" applyFont="1" applyFill="1" applyBorder="1" applyAlignment="1">
      <alignment horizontal="left"/>
    </xf>
    <xf numFmtId="0" fontId="5" fillId="4" borderId="1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left"/>
    </xf>
    <xf numFmtId="3" fontId="5" fillId="5" borderId="3" xfId="1" applyNumberFormat="1" applyFont="1" applyFill="1" applyBorder="1" applyAlignment="1">
      <alignment horizontal="left"/>
    </xf>
    <xf numFmtId="0" fontId="8" fillId="6" borderId="0" xfId="1" applyFont="1" applyFill="1" applyAlignment="1">
      <alignment horizontal="left" vertical="top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3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00000"/>
      <color rgb="FFDDF456"/>
      <color rgb="FFAAD39F"/>
      <color rgb="FFDCF456"/>
      <color rgb="FFFF0000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36</xdr:row>
          <xdr:rowOff>69850</xdr:rowOff>
        </xdr:from>
        <xdr:to>
          <xdr:col>1</xdr:col>
          <xdr:colOff>1327150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342900</xdr:colOff>
          <xdr:row>36</xdr:row>
          <xdr:rowOff>57150</xdr:rowOff>
        </xdr:from>
        <xdr:to>
          <xdr:col>3</xdr:col>
          <xdr:colOff>603250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4</xdr:row>
          <xdr:rowOff>0</xdr:rowOff>
        </xdr:from>
        <xdr:to>
          <xdr:col>1</xdr:col>
          <xdr:colOff>1409700</xdr:colOff>
          <xdr:row>5</xdr:row>
          <xdr:rowOff>127000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64</xdr:row>
          <xdr:rowOff>76200</xdr:rowOff>
        </xdr:from>
        <xdr:to>
          <xdr:col>1</xdr:col>
          <xdr:colOff>1327150</xdr:colOff>
          <xdr:row>65</xdr:row>
          <xdr:rowOff>171450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2</xdr:row>
          <xdr:rowOff>76200</xdr:rowOff>
        </xdr:from>
        <xdr:to>
          <xdr:col>11</xdr:col>
          <xdr:colOff>1327150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1492250</xdr:colOff>
      <xdr:row>0</xdr:row>
      <xdr:rowOff>0</xdr:rowOff>
    </xdr:from>
    <xdr:to>
      <xdr:col>2</xdr:col>
      <xdr:colOff>952500</xdr:colOff>
      <xdr:row>7</xdr:row>
      <xdr:rowOff>380999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5250" y="0"/>
          <a:ext cx="1979083" cy="1661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</xdr:colOff>
      <xdr:row>0</xdr:row>
      <xdr:rowOff>0</xdr:rowOff>
    </xdr:from>
    <xdr:to>
      <xdr:col>5</xdr:col>
      <xdr:colOff>899314</xdr:colOff>
      <xdr:row>5</xdr:row>
      <xdr:rowOff>31750</xdr:rowOff>
    </xdr:to>
    <xdr:pic>
      <xdr:nvPicPr>
        <xdr:cNvPr id="15" name="Content Placeholder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6084" y="0"/>
          <a:ext cx="2804313" cy="952500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232833</xdr:colOff>
      <xdr:row>0</xdr:row>
      <xdr:rowOff>27626</xdr:rowOff>
    </xdr:from>
    <xdr:to>
      <xdr:col>9</xdr:col>
      <xdr:colOff>681691</xdr:colOff>
      <xdr:row>8</xdr:row>
      <xdr:rowOff>31750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0" y="27626"/>
          <a:ext cx="2819524" cy="1697457"/>
        </a:xfrm>
        <a:prstGeom prst="rect">
          <a:avLst/>
        </a:prstGeom>
      </xdr:spPr>
    </xdr:pic>
    <xdr:clientData/>
  </xdr:twoCellAnchor>
  <xdr:twoCellAnchor>
    <xdr:from>
      <xdr:col>3</xdr:col>
      <xdr:colOff>74084</xdr:colOff>
      <xdr:row>5</xdr:row>
      <xdr:rowOff>69957</xdr:rowOff>
    </xdr:from>
    <xdr:to>
      <xdr:col>6</xdr:col>
      <xdr:colOff>169333</xdr:colOff>
      <xdr:row>8</xdr:row>
      <xdr:rowOff>21167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20167" y="990707"/>
          <a:ext cx="2899833" cy="723793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AEZ</a:t>
          </a:r>
          <a:r>
            <a:rPr lang="en-US" sz="14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r>
            <a:rPr lang="en-US" sz="1400" b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Hot to warm sub-humid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and drier lowlands</a:t>
          </a:r>
          <a:endParaRPr lang="en-US" sz="1400" b="0">
            <a:solidFill>
              <a:sysClr val="windowText" lastClr="000000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en-US" sz="1400" b="1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Elevation:</a:t>
          </a:r>
          <a:r>
            <a:rPr lang="en-US" sz="14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400" b="0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Less than 1000m</a:t>
          </a:r>
          <a:endParaRPr lang="en-US" sz="14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cols>
    <col min="1" max="1" width="9.1796875"/>
  </cols>
  <sheetData>
    <row r="1" spans="1:21" ht="18.5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8.5" x14ac:dyDescent="0.45">
      <c r="A2" s="15"/>
      <c r="B2" s="31" t="s">
        <v>95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8.5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8.5" x14ac:dyDescent="0.45">
      <c r="A4" s="15"/>
      <c r="B4" s="15" t="s">
        <v>92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8.5" x14ac:dyDescent="0.45">
      <c r="A5" s="15"/>
      <c r="B5" s="15" t="s">
        <v>71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8.5" x14ac:dyDescent="0.45">
      <c r="A6" s="15"/>
      <c r="B6" s="15" t="s">
        <v>72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8.5" x14ac:dyDescent="0.45">
      <c r="A7" s="15"/>
      <c r="B7" s="15" t="s">
        <v>73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8.5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8.5" x14ac:dyDescent="0.45">
      <c r="A9" s="15"/>
      <c r="B9" s="15" t="s">
        <v>96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18.5" x14ac:dyDescent="0.45">
      <c r="A10" s="15"/>
      <c r="B10" s="15" t="s">
        <v>85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5" x14ac:dyDescent="0.45">
      <c r="A11" s="15"/>
      <c r="B11" s="15" t="s">
        <v>86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18.5" x14ac:dyDescent="0.45">
      <c r="A12" s="15"/>
      <c r="B12" s="15" t="s">
        <v>94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18.5" x14ac:dyDescent="0.4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18.5" x14ac:dyDescent="0.4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18.5" x14ac:dyDescent="0.4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18.5" x14ac:dyDescent="0.4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15" customHeight="1" x14ac:dyDescent="0.4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8.5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8.5" x14ac:dyDescent="0.4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18.5" x14ac:dyDescent="0.4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ht="18.5" x14ac:dyDescent="0.4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8.5" x14ac:dyDescent="0.4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18.5" x14ac:dyDescent="0.4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18.5" x14ac:dyDescent="0.4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18.5" x14ac:dyDescent="0.4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18.5" x14ac:dyDescent="0.4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18.5" x14ac:dyDescent="0.4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18.5" x14ac:dyDescent="0.4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18.5" x14ac:dyDescent="0.4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8.5" x14ac:dyDescent="0.4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8.5" x14ac:dyDescent="0.4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8.5" x14ac:dyDescent="0.4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8.5" x14ac:dyDescent="0.4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8.5" x14ac:dyDescent="0.4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8.5" x14ac:dyDescent="0.4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8.5" x14ac:dyDescent="0.4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8.5" x14ac:dyDescent="0.4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8.5" x14ac:dyDescent="0.4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8.5" x14ac:dyDescent="0.4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8.5" x14ac:dyDescent="0.4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8.5" x14ac:dyDescent="0.4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8" customWidth="1"/>
    <col min="2" max="2" width="37.7265625" style="48" customWidth="1"/>
    <col min="3" max="3" width="14.7265625" style="48" customWidth="1"/>
    <col min="4" max="4" width="15" style="48" customWidth="1"/>
    <col min="5" max="6" width="13.453125" style="48" customWidth="1"/>
    <col min="7" max="8" width="13.1796875" style="48" customWidth="1"/>
    <col min="9" max="9" width="9.1796875" style="48" customWidth="1"/>
    <col min="10" max="10" width="17.81640625" style="48" customWidth="1"/>
    <col min="11" max="11" width="9.1796875" style="48" customWidth="1"/>
    <col min="12" max="12" width="32.81640625" style="48" hidden="1" customWidth="1"/>
    <col min="13" max="13" width="12" style="48" hidden="1" customWidth="1"/>
    <col min="14" max="14" width="23" style="48" hidden="1" customWidth="1"/>
    <col min="15" max="16" width="18.81640625" style="48" hidden="1" customWidth="1"/>
    <col min="17" max="17" width="20.1796875" style="48" hidden="1" customWidth="1"/>
    <col min="18" max="18" width="18.1796875" style="48" hidden="1" customWidth="1"/>
    <col min="19" max="19" width="21.7265625" style="48" hidden="1" customWidth="1"/>
    <col min="20" max="20" width="24.453125" style="48" hidden="1" customWidth="1"/>
    <col min="21" max="21" width="19.54296875" style="48" hidden="1" customWidth="1"/>
    <col min="22" max="22" width="17.453125" style="48" hidden="1" customWidth="1"/>
    <col min="23" max="23" width="13.1796875" style="48" hidden="1" customWidth="1"/>
    <col min="24" max="24" width="12.81640625" style="48" hidden="1" customWidth="1"/>
    <col min="25" max="25" width="14.81640625" style="48" hidden="1" customWidth="1"/>
    <col min="26" max="26" width="14.7265625" style="48" hidden="1" customWidth="1"/>
    <col min="27" max="27" width="14.453125" style="48" hidden="1" customWidth="1"/>
    <col min="28" max="29" width="12.26953125" style="48" hidden="1" customWidth="1"/>
    <col min="30" max="30" width="11.81640625" style="48" hidden="1" customWidth="1"/>
    <col min="31" max="32" width="11.54296875" style="48" hidden="1" customWidth="1"/>
    <col min="33" max="33" width="11.81640625" style="48" hidden="1" customWidth="1"/>
    <col min="34" max="35" width="11.54296875" style="48" hidden="1" customWidth="1"/>
    <col min="36" max="16384" width="9.1796875" style="48"/>
  </cols>
  <sheetData>
    <row r="1" spans="1:37" ht="15" customHeigh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AJ1" s="47"/>
      <c r="AK1" s="47"/>
    </row>
    <row r="2" spans="1:37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AJ2" s="47"/>
      <c r="AK2" s="47"/>
    </row>
    <row r="3" spans="1:37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AJ3" s="47"/>
      <c r="AK3" s="47"/>
    </row>
    <row r="4" spans="1:37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P4" s="195"/>
      <c r="AJ4" s="47"/>
      <c r="AK4" s="47"/>
    </row>
    <row r="5" spans="1:37" ht="15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AJ5" s="47"/>
      <c r="AK5" s="47"/>
    </row>
    <row r="6" spans="1:37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AJ6" s="47"/>
      <c r="AK6" s="47"/>
    </row>
    <row r="7" spans="1:37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AJ7" s="47"/>
      <c r="AK7" s="47"/>
    </row>
    <row r="8" spans="1:37" ht="32.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N8" s="49" t="s">
        <v>18</v>
      </c>
      <c r="O8" s="50"/>
      <c r="P8" s="51" t="s">
        <v>61</v>
      </c>
      <c r="Q8" s="52" t="s">
        <v>19</v>
      </c>
      <c r="R8" s="52" t="s">
        <v>21</v>
      </c>
      <c r="S8" s="53" t="s">
        <v>20</v>
      </c>
      <c r="T8" s="51" t="s">
        <v>36</v>
      </c>
      <c r="AJ8" s="47"/>
      <c r="AK8" s="47"/>
    </row>
    <row r="9" spans="1:37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N9" s="26" t="s">
        <v>9</v>
      </c>
      <c r="O9" s="27"/>
      <c r="P9" s="54" t="s">
        <v>9</v>
      </c>
      <c r="Q9" s="55">
        <f>IF(OR(C26=0,C26="%"),0,C26)</f>
        <v>0.46</v>
      </c>
      <c r="R9" s="141">
        <f>IF(OR(D26=0,D26="%"),0,D26*0.437)</f>
        <v>0</v>
      </c>
      <c r="S9" s="142">
        <f>IF(OR(E26=0,E26="%"),0,E26*0.83)</f>
        <v>0</v>
      </c>
      <c r="T9" s="193">
        <f>IF(F26&lt;=0,0,(F26/50))</f>
        <v>1.2</v>
      </c>
      <c r="AJ9" s="47"/>
      <c r="AK9" s="47"/>
    </row>
    <row r="10" spans="1:37" ht="18" x14ac:dyDescent="0.4">
      <c r="A10" s="47"/>
      <c r="B10" s="56" t="s">
        <v>82</v>
      </c>
      <c r="C10" s="213" t="s">
        <v>91</v>
      </c>
      <c r="D10" s="213"/>
      <c r="E10" s="14"/>
      <c r="F10" s="47"/>
      <c r="G10" s="47"/>
      <c r="H10" s="47"/>
      <c r="I10" s="47"/>
      <c r="J10" s="47"/>
      <c r="K10" s="47"/>
      <c r="N10" s="1" t="s">
        <v>15</v>
      </c>
      <c r="O10" s="2"/>
      <c r="P10" s="57" t="s">
        <v>12</v>
      </c>
      <c r="Q10" s="58">
        <f t="shared" ref="Q10:Q13" si="0">IF(OR(C27=0,C27="%"),0,C27)</f>
        <v>0</v>
      </c>
      <c r="R10" s="143">
        <f>IF(OR(D27=0,D27="%"),0,D27*0.437)</f>
        <v>0.20102</v>
      </c>
      <c r="S10" s="144">
        <f>IF(OR(E27=0,E27="%"),0,E27*0.83)</f>
        <v>0</v>
      </c>
      <c r="T10" s="192">
        <f>IF(F27&lt;=0,0,(F27/50))</f>
        <v>1.2</v>
      </c>
      <c r="AJ10" s="47"/>
      <c r="AK10" s="47"/>
    </row>
    <row r="11" spans="1:37" ht="18" x14ac:dyDescent="0.4">
      <c r="A11" s="47"/>
      <c r="B11" s="56" t="s">
        <v>83</v>
      </c>
      <c r="C11" s="213" t="s">
        <v>91</v>
      </c>
      <c r="D11" s="213"/>
      <c r="E11" s="19"/>
      <c r="F11" s="47"/>
      <c r="G11" s="47"/>
      <c r="H11" s="47"/>
      <c r="I11" s="47"/>
      <c r="J11" s="47"/>
      <c r="K11" s="47"/>
      <c r="N11" s="1" t="s">
        <v>16</v>
      </c>
      <c r="O11" s="2"/>
      <c r="P11" s="57" t="s">
        <v>13</v>
      </c>
      <c r="Q11" s="196">
        <f>IF(OR(C28=0,C28="%"),0,C28)</f>
        <v>0.18</v>
      </c>
      <c r="R11" s="143">
        <f>IF(OR(D28=0,D28="%"),0,D28*0.437)</f>
        <v>0.20102</v>
      </c>
      <c r="S11" s="144">
        <f>IF(OR(E28=0,E28="%"),0,E28*0.83)</f>
        <v>0</v>
      </c>
      <c r="T11" s="192">
        <f>IF(F28&lt;=0,0,(F28/50))</f>
        <v>0</v>
      </c>
      <c r="AJ11" s="47"/>
      <c r="AK11" s="47"/>
    </row>
    <row r="12" spans="1:37" ht="18" x14ac:dyDescent="0.4">
      <c r="A12" s="47"/>
      <c r="B12" s="56" t="s">
        <v>84</v>
      </c>
      <c r="C12" s="214">
        <f ca="1">TODAY()</f>
        <v>46028</v>
      </c>
      <c r="D12" s="214"/>
      <c r="E12" s="20"/>
      <c r="F12" s="47"/>
      <c r="G12" s="47"/>
      <c r="H12" s="47"/>
      <c r="I12" s="47"/>
      <c r="J12" s="47"/>
      <c r="K12" s="47"/>
      <c r="N12" s="25" t="s">
        <v>17</v>
      </c>
      <c r="O12" s="28"/>
      <c r="P12" s="61" t="s">
        <v>22</v>
      </c>
      <c r="Q12" s="58">
        <f t="shared" si="0"/>
        <v>0</v>
      </c>
      <c r="R12" s="143">
        <f>IF(OR(D29=0,D29="%"),0,D29*0.437)</f>
        <v>0</v>
      </c>
      <c r="S12" s="144">
        <f>IF(OR(E29=0,E29="%"),0,E29*0.83)</f>
        <v>0.49799999999999994</v>
      </c>
      <c r="T12" s="192">
        <f>IF(F29&lt;=0,0,(F29/50))</f>
        <v>1</v>
      </c>
      <c r="AJ12" s="47"/>
      <c r="AK12" s="47"/>
    </row>
    <row r="13" spans="1:37" x14ac:dyDescent="0.3">
      <c r="A13" s="47"/>
      <c r="B13" s="47"/>
      <c r="C13" s="47"/>
      <c r="D13" s="47"/>
      <c r="E13" s="20"/>
      <c r="F13" s="47"/>
      <c r="G13" s="47"/>
      <c r="H13" s="47"/>
      <c r="I13" s="47"/>
      <c r="J13" s="47"/>
      <c r="K13" s="47"/>
      <c r="N13" s="62" t="str">
        <f>B30</f>
        <v>xxx</v>
      </c>
      <c r="O13" s="63"/>
      <c r="P13" s="64" t="str">
        <f>LEFT(N13,4)</f>
        <v>xxx</v>
      </c>
      <c r="Q13" s="65">
        <f t="shared" si="0"/>
        <v>0</v>
      </c>
      <c r="R13" s="145">
        <f>IF(OR(D30=0,D30="%"),0,D30*0.437)</f>
        <v>0</v>
      </c>
      <c r="S13" s="146">
        <f>IF(OR(E30=0,E30="%"),0,E30*0.83)</f>
        <v>0</v>
      </c>
      <c r="T13" s="194">
        <f>IF(F30&lt;=0,0,(F30/50))</f>
        <v>0</v>
      </c>
      <c r="AJ13" s="47"/>
      <c r="AK13" s="47"/>
    </row>
    <row r="14" spans="1:37" ht="18" x14ac:dyDescent="0.4">
      <c r="A14" s="47"/>
      <c r="B14" s="219" t="s">
        <v>4</v>
      </c>
      <c r="C14" s="220"/>
      <c r="D14" s="221"/>
      <c r="E14" s="20"/>
      <c r="F14" s="47"/>
      <c r="G14" s="47"/>
      <c r="H14" s="47"/>
      <c r="I14" s="47"/>
      <c r="J14" s="47"/>
      <c r="K14" s="47"/>
      <c r="P14" s="66"/>
      <c r="Q14" s="59"/>
      <c r="R14" s="59"/>
      <c r="S14" s="59"/>
      <c r="T14" s="67"/>
      <c r="AJ14" s="47"/>
      <c r="AK14" s="47"/>
    </row>
    <row r="15" spans="1:37" ht="54" x14ac:dyDescent="0.3">
      <c r="A15" s="47"/>
      <c r="B15" s="43" t="s">
        <v>5</v>
      </c>
      <c r="C15" s="3" t="s">
        <v>6</v>
      </c>
      <c r="D15" s="4" t="s">
        <v>102</v>
      </c>
      <c r="E15" s="20"/>
      <c r="F15" s="47"/>
      <c r="G15" s="47"/>
      <c r="H15" s="47"/>
      <c r="I15" s="47"/>
      <c r="J15" s="47"/>
      <c r="K15" s="47"/>
      <c r="AJ15" s="47"/>
      <c r="AK15" s="47"/>
    </row>
    <row r="16" spans="1:37" ht="17.5" x14ac:dyDescent="0.35">
      <c r="A16" s="47"/>
      <c r="B16" s="204" t="s">
        <v>120</v>
      </c>
      <c r="C16" s="201">
        <v>1</v>
      </c>
      <c r="D16" s="37">
        <v>0.5</v>
      </c>
      <c r="E16" s="20"/>
      <c r="F16" s="47"/>
      <c r="G16" s="47"/>
      <c r="H16" s="47"/>
      <c r="I16" s="47"/>
      <c r="J16" s="47"/>
      <c r="K16" s="47"/>
      <c r="N16" s="210" t="s">
        <v>32</v>
      </c>
      <c r="O16" s="211"/>
      <c r="P16" s="211"/>
      <c r="Q16" s="211"/>
      <c r="R16" s="211"/>
      <c r="S16" s="211"/>
      <c r="T16" s="211"/>
      <c r="U16" s="211"/>
      <c r="V16" s="211"/>
      <c r="W16" s="211"/>
      <c r="X16" s="212"/>
      <c r="Y16" s="210" t="s">
        <v>97</v>
      </c>
      <c r="Z16" s="211"/>
      <c r="AA16" s="212"/>
      <c r="AJ16" s="47"/>
      <c r="AK16" s="47"/>
    </row>
    <row r="17" spans="1:37" ht="17.5" x14ac:dyDescent="0.35">
      <c r="A17" s="47"/>
      <c r="B17" s="205" t="s">
        <v>130</v>
      </c>
      <c r="C17" s="201">
        <v>1</v>
      </c>
      <c r="D17" s="37">
        <v>0.3</v>
      </c>
      <c r="E17" s="20"/>
      <c r="F17" s="47"/>
      <c r="G17" s="47"/>
      <c r="H17" s="47"/>
      <c r="I17" s="47"/>
      <c r="J17" s="47"/>
      <c r="K17" s="47"/>
      <c r="N17" s="62" t="s">
        <v>5</v>
      </c>
      <c r="O17" s="57" t="s">
        <v>24</v>
      </c>
      <c r="P17" s="66" t="s">
        <v>25</v>
      </c>
      <c r="Q17" s="66" t="s">
        <v>26</v>
      </c>
      <c r="R17" s="66" t="s">
        <v>27</v>
      </c>
      <c r="S17" s="66" t="str">
        <f>P13&amp;" Min"</f>
        <v>xxx Min</v>
      </c>
      <c r="T17" s="54" t="s">
        <v>28</v>
      </c>
      <c r="U17" s="52" t="s">
        <v>29</v>
      </c>
      <c r="V17" s="52" t="s">
        <v>30</v>
      </c>
      <c r="W17" s="52" t="s">
        <v>31</v>
      </c>
      <c r="X17" s="53" t="str">
        <f>P13&amp;" Max"</f>
        <v>xxx Max</v>
      </c>
      <c r="Y17" s="57" t="s">
        <v>65</v>
      </c>
      <c r="Z17" s="66" t="s">
        <v>66</v>
      </c>
      <c r="AA17" s="53" t="s">
        <v>68</v>
      </c>
      <c r="AJ17" s="47"/>
      <c r="AK17" s="47"/>
    </row>
    <row r="18" spans="1:37" ht="17.5" x14ac:dyDescent="0.35">
      <c r="A18" s="47"/>
      <c r="B18" s="205" t="s">
        <v>129</v>
      </c>
      <c r="C18" s="201">
        <v>1</v>
      </c>
      <c r="D18" s="37">
        <v>0.3</v>
      </c>
      <c r="E18" s="47"/>
      <c r="F18" s="47"/>
      <c r="G18" s="47"/>
      <c r="H18" s="47"/>
      <c r="I18" s="47"/>
      <c r="J18" s="47"/>
      <c r="K18" s="47"/>
      <c r="N18" s="90" t="s">
        <v>120</v>
      </c>
      <c r="O18" s="71">
        <v>0</v>
      </c>
      <c r="P18" s="72">
        <v>0</v>
      </c>
      <c r="Q18" s="72">
        <v>0</v>
      </c>
      <c r="R18" s="72">
        <v>0</v>
      </c>
      <c r="S18" s="72">
        <v>0</v>
      </c>
      <c r="T18" s="71">
        <f>IF($F$26&lt;=0,0,350)</f>
        <v>350</v>
      </c>
      <c r="U18" s="72">
        <f>IF($F$27&lt;=0,0,150)</f>
        <v>150</v>
      </c>
      <c r="V18" s="72">
        <f t="shared" ref="V18:V23" si="1">IF($F$28&lt;=0,0,150)</f>
        <v>0</v>
      </c>
      <c r="W18" s="72">
        <f t="shared" ref="W18:W23" si="2">IF($F$29&lt;=0,0,100)</f>
        <v>100</v>
      </c>
      <c r="X18" s="73">
        <f>IF($F$30&lt;=0,0,200)</f>
        <v>0</v>
      </c>
      <c r="Y18" s="74">
        <v>150</v>
      </c>
      <c r="Z18" s="75">
        <v>50</v>
      </c>
      <c r="AA18" s="75">
        <v>50</v>
      </c>
      <c r="AJ18" s="47"/>
      <c r="AK18" s="47"/>
    </row>
    <row r="19" spans="1:37" ht="17.5" x14ac:dyDescent="0.35">
      <c r="A19" s="47"/>
      <c r="B19" s="205" t="s">
        <v>113</v>
      </c>
      <c r="C19" s="201">
        <v>1</v>
      </c>
      <c r="D19" s="37">
        <v>0.7</v>
      </c>
      <c r="E19" s="20"/>
      <c r="F19" s="47"/>
      <c r="G19" s="47"/>
      <c r="H19" s="47"/>
      <c r="I19" s="47"/>
      <c r="J19" s="47"/>
      <c r="K19" s="47"/>
      <c r="N19" s="95" t="s">
        <v>128</v>
      </c>
      <c r="O19" s="76">
        <v>0</v>
      </c>
      <c r="P19" s="77">
        <v>0</v>
      </c>
      <c r="Q19" s="77">
        <v>0</v>
      </c>
      <c r="R19" s="77">
        <v>0</v>
      </c>
      <c r="S19" s="77">
        <v>0</v>
      </c>
      <c r="T19" s="76">
        <f>IF($F$26&lt;=0,0,250)</f>
        <v>250</v>
      </c>
      <c r="U19" s="77">
        <f t="shared" ref="U19" si="3">IF($F$27&lt;=0,0,150)</f>
        <v>150</v>
      </c>
      <c r="V19" s="77">
        <f t="shared" si="1"/>
        <v>0</v>
      </c>
      <c r="W19" s="77">
        <f t="shared" si="2"/>
        <v>100</v>
      </c>
      <c r="X19" s="78">
        <f>IF($F$30&lt;=0,0,200)</f>
        <v>0</v>
      </c>
      <c r="Y19" s="79">
        <v>120</v>
      </c>
      <c r="Z19" s="75">
        <v>50</v>
      </c>
      <c r="AA19" s="80">
        <v>50</v>
      </c>
      <c r="AJ19" s="47"/>
      <c r="AK19" s="47"/>
    </row>
    <row r="20" spans="1:37" ht="17.5" x14ac:dyDescent="0.35">
      <c r="A20" s="47"/>
      <c r="B20" s="205" t="s">
        <v>91</v>
      </c>
      <c r="C20" s="201">
        <v>0</v>
      </c>
      <c r="D20" s="37">
        <v>0</v>
      </c>
      <c r="E20" s="20"/>
      <c r="F20" s="47"/>
      <c r="G20" s="47"/>
      <c r="H20" s="47"/>
      <c r="I20" s="47"/>
      <c r="J20" s="47"/>
      <c r="K20" s="47"/>
      <c r="N20" s="95" t="s">
        <v>129</v>
      </c>
      <c r="O20" s="76">
        <v>0</v>
      </c>
      <c r="P20" s="77">
        <v>0</v>
      </c>
      <c r="Q20" s="77">
        <v>0</v>
      </c>
      <c r="R20" s="77">
        <v>0</v>
      </c>
      <c r="S20" s="77">
        <v>0</v>
      </c>
      <c r="T20" s="76">
        <f>IF($F$26&lt;=0,0,350)</f>
        <v>350</v>
      </c>
      <c r="U20" s="77">
        <f>IF($F$27&lt;=0,0,150)</f>
        <v>150</v>
      </c>
      <c r="V20" s="77">
        <f t="shared" si="1"/>
        <v>0</v>
      </c>
      <c r="W20" s="77">
        <f t="shared" si="2"/>
        <v>100</v>
      </c>
      <c r="X20" s="78">
        <f>IF($F$30&lt;=0,0,200)</f>
        <v>0</v>
      </c>
      <c r="Y20" s="79">
        <v>150</v>
      </c>
      <c r="Z20" s="75">
        <v>50</v>
      </c>
      <c r="AA20" s="80">
        <v>50</v>
      </c>
      <c r="AJ20" s="47"/>
      <c r="AK20" s="47"/>
    </row>
    <row r="21" spans="1:37" ht="17.5" x14ac:dyDescent="0.35">
      <c r="A21" s="47"/>
      <c r="B21" s="206" t="s">
        <v>91</v>
      </c>
      <c r="C21" s="202">
        <v>0</v>
      </c>
      <c r="D21" s="38">
        <v>0</v>
      </c>
      <c r="E21" s="20"/>
      <c r="F21" s="47"/>
      <c r="G21" s="47"/>
      <c r="H21" s="47"/>
      <c r="I21" s="47"/>
      <c r="J21" s="47"/>
      <c r="K21" s="47"/>
      <c r="N21" s="97" t="s">
        <v>113</v>
      </c>
      <c r="O21" s="76">
        <v>0</v>
      </c>
      <c r="P21" s="77">
        <v>0</v>
      </c>
      <c r="Q21" s="77">
        <v>0</v>
      </c>
      <c r="R21" s="77">
        <v>0</v>
      </c>
      <c r="S21" s="77">
        <v>0</v>
      </c>
      <c r="T21" s="76">
        <f>IF($F$26&lt;=0,0,250)</f>
        <v>250</v>
      </c>
      <c r="U21" s="77">
        <f>IF($F$27&lt;=0,0,150)</f>
        <v>150</v>
      </c>
      <c r="V21" s="77">
        <f t="shared" si="1"/>
        <v>0</v>
      </c>
      <c r="W21" s="77">
        <f t="shared" si="2"/>
        <v>100</v>
      </c>
      <c r="X21" s="78">
        <f>IF($F$30&lt;=0,0,200)</f>
        <v>0</v>
      </c>
      <c r="Y21" s="79">
        <v>120</v>
      </c>
      <c r="Z21" s="75">
        <v>50</v>
      </c>
      <c r="AA21" s="80">
        <v>50</v>
      </c>
      <c r="AJ21" s="47"/>
      <c r="AK21" s="47"/>
    </row>
    <row r="22" spans="1:37" ht="18" x14ac:dyDescent="0.4">
      <c r="A22" s="47"/>
      <c r="B22" s="203" t="s">
        <v>79</v>
      </c>
      <c r="C22" s="81">
        <f>SUM(C16:C21)</f>
        <v>4</v>
      </c>
      <c r="D22" s="82"/>
      <c r="E22" s="47"/>
      <c r="F22" s="47"/>
      <c r="G22" s="47"/>
      <c r="H22" s="47"/>
      <c r="I22" s="47"/>
      <c r="J22" s="47"/>
      <c r="K22" s="47"/>
      <c r="N22" s="95" t="s">
        <v>91</v>
      </c>
      <c r="O22" s="76">
        <v>0</v>
      </c>
      <c r="P22" s="77">
        <v>0</v>
      </c>
      <c r="Q22" s="77">
        <v>0</v>
      </c>
      <c r="R22" s="77">
        <v>0</v>
      </c>
      <c r="S22" s="77">
        <v>0</v>
      </c>
      <c r="T22" s="76">
        <f t="shared" ref="T22:T23" si="4">IF($F$26&lt;=0,0,100)</f>
        <v>100</v>
      </c>
      <c r="U22" s="77">
        <f>IF($F$27&lt;=0,0,200)</f>
        <v>200</v>
      </c>
      <c r="V22" s="77">
        <f t="shared" si="1"/>
        <v>0</v>
      </c>
      <c r="W22" s="77">
        <f t="shared" si="2"/>
        <v>100</v>
      </c>
      <c r="X22" s="78">
        <f t="shared" ref="X22:X23" si="5">IF($F$30&lt;=0,0,200)</f>
        <v>0</v>
      </c>
      <c r="Y22" s="79">
        <v>50</v>
      </c>
      <c r="Z22" s="75">
        <v>50</v>
      </c>
      <c r="AA22" s="80">
        <v>50</v>
      </c>
      <c r="AJ22" s="47"/>
      <c r="AK22" s="47"/>
    </row>
    <row r="23" spans="1:37" ht="17.5" x14ac:dyDescent="0.35">
      <c r="A23" s="47"/>
      <c r="B23" s="16"/>
      <c r="C23" s="16"/>
      <c r="D23" s="16"/>
      <c r="E23" s="20"/>
      <c r="F23" s="47"/>
      <c r="G23" s="47"/>
      <c r="H23" s="47"/>
      <c r="I23" s="47"/>
      <c r="J23" s="47"/>
      <c r="K23" s="47"/>
      <c r="N23" s="100" t="s">
        <v>91</v>
      </c>
      <c r="O23" s="83">
        <v>0</v>
      </c>
      <c r="P23" s="84">
        <v>0</v>
      </c>
      <c r="Q23" s="84">
        <v>0</v>
      </c>
      <c r="R23" s="84">
        <v>0</v>
      </c>
      <c r="S23" s="84">
        <v>0</v>
      </c>
      <c r="T23" s="83">
        <f t="shared" si="4"/>
        <v>100</v>
      </c>
      <c r="U23" s="84">
        <f>IF($F$27&lt;=0,0,200)</f>
        <v>200</v>
      </c>
      <c r="V23" s="84">
        <f t="shared" si="1"/>
        <v>0</v>
      </c>
      <c r="W23" s="84">
        <f t="shared" si="2"/>
        <v>100</v>
      </c>
      <c r="X23" s="85">
        <f t="shared" si="5"/>
        <v>0</v>
      </c>
      <c r="Y23" s="86">
        <v>50</v>
      </c>
      <c r="Z23" s="75">
        <v>50</v>
      </c>
      <c r="AA23" s="87">
        <v>50</v>
      </c>
      <c r="AJ23" s="47"/>
      <c r="AK23" s="47"/>
    </row>
    <row r="24" spans="1:37" ht="18" x14ac:dyDescent="0.4">
      <c r="A24" s="47"/>
      <c r="B24" s="215" t="s">
        <v>7</v>
      </c>
      <c r="C24" s="216"/>
      <c r="D24" s="216"/>
      <c r="E24" s="216"/>
      <c r="F24" s="217"/>
      <c r="G24" s="47"/>
      <c r="H24" s="47"/>
      <c r="I24" s="47"/>
      <c r="J24" s="47"/>
      <c r="K24" s="47"/>
      <c r="Y24" s="77"/>
      <c r="Z24" s="77"/>
      <c r="AA24" s="77"/>
      <c r="AJ24" s="47"/>
      <c r="AK24" s="47"/>
    </row>
    <row r="25" spans="1:37" ht="41.25" customHeight="1" x14ac:dyDescent="0.3">
      <c r="A25" s="47"/>
      <c r="B25" s="43" t="s">
        <v>8</v>
      </c>
      <c r="C25" s="22" t="s">
        <v>75</v>
      </c>
      <c r="D25" s="23" t="s">
        <v>80</v>
      </c>
      <c r="E25" s="22" t="s">
        <v>81</v>
      </c>
      <c r="F25" s="24" t="s">
        <v>64</v>
      </c>
      <c r="G25" s="47"/>
      <c r="H25" s="47"/>
      <c r="I25" s="47"/>
      <c r="J25" s="47"/>
      <c r="K25" s="47"/>
      <c r="AJ25" s="47"/>
      <c r="AK25" s="47"/>
    </row>
    <row r="26" spans="1:37" ht="17.5" x14ac:dyDescent="0.35">
      <c r="A26" s="47"/>
      <c r="B26" s="21" t="s">
        <v>9</v>
      </c>
      <c r="C26" s="32">
        <v>0.46</v>
      </c>
      <c r="D26" s="32">
        <v>0</v>
      </c>
      <c r="E26" s="33">
        <v>0</v>
      </c>
      <c r="F26" s="139">
        <v>60</v>
      </c>
      <c r="G26" s="47"/>
      <c r="H26" s="47"/>
      <c r="I26" s="47"/>
      <c r="J26" s="47"/>
      <c r="K26" s="47"/>
      <c r="AJ26" s="47"/>
      <c r="AK26" s="47"/>
    </row>
    <row r="27" spans="1:37" ht="15" customHeight="1" x14ac:dyDescent="0.35">
      <c r="A27" s="47"/>
      <c r="B27" s="5" t="s">
        <v>78</v>
      </c>
      <c r="C27" s="34">
        <v>0</v>
      </c>
      <c r="D27" s="34">
        <v>0.46</v>
      </c>
      <c r="E27" s="35">
        <v>0</v>
      </c>
      <c r="F27" s="37">
        <v>60</v>
      </c>
      <c r="G27" s="47"/>
      <c r="H27" s="47"/>
      <c r="I27" s="47"/>
      <c r="J27" s="47"/>
      <c r="K27" s="47"/>
      <c r="AJ27" s="47"/>
      <c r="AK27" s="47"/>
    </row>
    <row r="28" spans="1:37" ht="15" customHeight="1" x14ac:dyDescent="0.35">
      <c r="A28" s="47"/>
      <c r="B28" s="5" t="s">
        <v>77</v>
      </c>
      <c r="C28" s="34">
        <v>0.18</v>
      </c>
      <c r="D28" s="34">
        <v>0.46</v>
      </c>
      <c r="E28" s="35">
        <v>0</v>
      </c>
      <c r="F28" s="37">
        <v>0</v>
      </c>
      <c r="G28" s="47"/>
      <c r="H28" s="47"/>
      <c r="I28" s="47"/>
      <c r="J28" s="47"/>
      <c r="K28" s="47"/>
      <c r="AJ28" s="47"/>
      <c r="AK28" s="47"/>
    </row>
    <row r="29" spans="1:37" ht="15" customHeight="1" x14ac:dyDescent="0.35">
      <c r="A29" s="47"/>
      <c r="B29" s="5" t="s">
        <v>76</v>
      </c>
      <c r="C29" s="34">
        <v>0</v>
      </c>
      <c r="D29" s="34">
        <v>0</v>
      </c>
      <c r="E29" s="35">
        <v>0.6</v>
      </c>
      <c r="F29" s="37">
        <v>50</v>
      </c>
      <c r="G29" s="47"/>
      <c r="H29" s="47"/>
      <c r="I29" s="47"/>
      <c r="J29" s="47"/>
      <c r="K29" s="47"/>
      <c r="AJ29" s="47"/>
      <c r="AK29" s="47"/>
    </row>
    <row r="30" spans="1:37" ht="17.5" x14ac:dyDescent="0.35">
      <c r="A30" s="47"/>
      <c r="B30" s="36" t="s">
        <v>91</v>
      </c>
      <c r="C30" s="46" t="s">
        <v>99</v>
      </c>
      <c r="D30" s="46" t="s">
        <v>99</v>
      </c>
      <c r="E30" s="46" t="s">
        <v>99</v>
      </c>
      <c r="F30" s="38">
        <v>0</v>
      </c>
      <c r="G30" s="47"/>
      <c r="H30" s="47"/>
      <c r="I30" s="47"/>
      <c r="J30" s="47"/>
      <c r="K30" s="47"/>
      <c r="L30" s="210" t="s">
        <v>34</v>
      </c>
      <c r="M30" s="211"/>
      <c r="N30" s="212"/>
      <c r="O30" s="223" t="s">
        <v>87</v>
      </c>
      <c r="P30" s="224"/>
      <c r="Q30" s="224"/>
      <c r="R30" s="224"/>
      <c r="S30" s="218"/>
      <c r="T30" s="210" t="s">
        <v>33</v>
      </c>
      <c r="U30" s="211"/>
      <c r="V30" s="211"/>
      <c r="W30" s="211"/>
      <c r="X30" s="211"/>
      <c r="Y30" s="211"/>
      <c r="Z30" s="211"/>
      <c r="AA30" s="211"/>
      <c r="AB30" s="210" t="s">
        <v>67</v>
      </c>
      <c r="AC30" s="211"/>
      <c r="AD30" s="212"/>
      <c r="AJ30" s="47"/>
      <c r="AK30" s="47"/>
    </row>
    <row r="31" spans="1:37" ht="16.5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88" t="s">
        <v>5</v>
      </c>
      <c r="M31" s="89" t="s">
        <v>23</v>
      </c>
      <c r="N31" s="54" t="s">
        <v>3</v>
      </c>
      <c r="O31" s="68" t="s">
        <v>59</v>
      </c>
      <c r="P31" s="69" t="s">
        <v>88</v>
      </c>
      <c r="Q31" s="69" t="s">
        <v>89</v>
      </c>
      <c r="R31" s="69" t="s">
        <v>90</v>
      </c>
      <c r="S31" s="69" t="str">
        <f>P13&amp;" kg"</f>
        <v>xxx kg</v>
      </c>
      <c r="T31" s="68" t="s">
        <v>37</v>
      </c>
      <c r="U31" s="69" t="s">
        <v>38</v>
      </c>
      <c r="V31" s="69" t="s">
        <v>39</v>
      </c>
      <c r="W31" s="69" t="s">
        <v>40</v>
      </c>
      <c r="X31" s="69" t="s">
        <v>41</v>
      </c>
      <c r="Y31" s="69" t="str">
        <f>P13&amp; " kg (N)"</f>
        <v>xxx kg (N)</v>
      </c>
      <c r="Z31" s="69" t="str">
        <f>P13&amp;" kg (P)"</f>
        <v>xxx kg (P)</v>
      </c>
      <c r="AA31" s="70" t="str">
        <f>P13&amp;" kg (K)"</f>
        <v>xxx kg (K)</v>
      </c>
      <c r="AB31" s="66" t="s">
        <v>65</v>
      </c>
      <c r="AC31" s="66" t="s">
        <v>66</v>
      </c>
      <c r="AD31" s="53" t="s">
        <v>68</v>
      </c>
      <c r="AE31" s="66"/>
      <c r="AF31" s="66"/>
      <c r="AG31" s="66"/>
      <c r="AH31" s="66"/>
      <c r="AI31" s="66"/>
      <c r="AJ31" s="47"/>
      <c r="AK31" s="47"/>
    </row>
    <row r="32" spans="1:37" ht="19.5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90" t="s">
        <v>120</v>
      </c>
      <c r="M32" s="54">
        <f t="shared" ref="M32:M37" si="6">C16</f>
        <v>1</v>
      </c>
      <c r="N32" s="51">
        <f t="shared" ref="N32:N37" si="7">IF(D16&lt;=0,0,D16)</f>
        <v>0.5</v>
      </c>
      <c r="O32" s="91">
        <v>205.42531792452002</v>
      </c>
      <c r="P32" s="92">
        <v>30.655282426909068</v>
      </c>
      <c r="Q32" s="92">
        <v>0</v>
      </c>
      <c r="R32" s="92">
        <v>0</v>
      </c>
      <c r="S32" s="92">
        <v>0</v>
      </c>
      <c r="T32" s="93">
        <f>IF(M32&lt;=0,0,O32*$Q$9)</f>
        <v>94.495646245279218</v>
      </c>
      <c r="U32" s="79">
        <f>IF(M32&lt;=0,0,P32*$R$10)</f>
        <v>6.1623248734572611</v>
      </c>
      <c r="V32" s="79">
        <f>IF(M32&lt;=0,0,Q32*$Q$11)</f>
        <v>0</v>
      </c>
      <c r="W32" s="79">
        <f>IF(M32&lt;=0,0,Q32*$R$11)</f>
        <v>0</v>
      </c>
      <c r="X32" s="79">
        <f>IF(M32&lt;=0,0,R32*$S$12)</f>
        <v>0</v>
      </c>
      <c r="Y32" s="79">
        <f>IF(OR(M32&lt;=0,$C$30=0,$C$30="%"),0,S32*$Q$13)</f>
        <v>0</v>
      </c>
      <c r="Z32" s="79">
        <f>IF(OR(M32&lt;=0,$D$30=0,$D$30="%"),0,S32*$R$13)</f>
        <v>0</v>
      </c>
      <c r="AA32" s="80">
        <f>IF(OR(M32&lt;=0,$E$30=0,$E$30="%"),0,S32*$S$13)</f>
        <v>0</v>
      </c>
      <c r="AB32" s="74">
        <f>T32+V32+Y32</f>
        <v>94.495646245279218</v>
      </c>
      <c r="AC32" s="74">
        <f t="shared" ref="AB32:AC37" si="8">U32+W32+Z32</f>
        <v>6.1623248734572611</v>
      </c>
      <c r="AD32" s="75">
        <f>X32+AA32</f>
        <v>0</v>
      </c>
      <c r="AE32" s="94"/>
      <c r="AF32" s="94"/>
      <c r="AG32" s="94"/>
      <c r="AH32" s="94"/>
      <c r="AI32" s="94"/>
      <c r="AJ32" s="47"/>
      <c r="AK32" s="47"/>
    </row>
    <row r="33" spans="1:37" ht="19.5" customHeight="1" x14ac:dyDescent="0.4">
      <c r="A33" s="47"/>
      <c r="B33" s="215" t="s">
        <v>10</v>
      </c>
      <c r="C33" s="217"/>
      <c r="D33" s="47"/>
      <c r="E33" s="47"/>
      <c r="F33" s="47"/>
      <c r="G33" s="47"/>
      <c r="H33" s="47"/>
      <c r="I33" s="47"/>
      <c r="J33" s="47"/>
      <c r="K33" s="47"/>
      <c r="L33" s="95" t="s">
        <v>128</v>
      </c>
      <c r="M33" s="57">
        <f t="shared" si="6"/>
        <v>1</v>
      </c>
      <c r="N33" s="96">
        <f t="shared" si="7"/>
        <v>0.3</v>
      </c>
      <c r="O33" s="91">
        <v>69.925220359652727</v>
      </c>
      <c r="P33" s="92">
        <v>50.81687922365915</v>
      </c>
      <c r="Q33" s="92">
        <v>0</v>
      </c>
      <c r="R33" s="92">
        <v>0</v>
      </c>
      <c r="S33" s="92">
        <v>0</v>
      </c>
      <c r="T33" s="93">
        <f>IF(M33&lt;=0,0,O33*$Q$9)</f>
        <v>32.165601365440253</v>
      </c>
      <c r="U33" s="79">
        <f t="shared" ref="U33:U37" si="9">IF(M33&lt;=0,0,P33*$R$10)</f>
        <v>10.215209061539962</v>
      </c>
      <c r="V33" s="79">
        <f>IF(M33&lt;=0,0,Q33*$Q$11)</f>
        <v>0</v>
      </c>
      <c r="W33" s="79">
        <f t="shared" ref="W33:W35" si="10">IF(M33&lt;=0,0,Q33*$R$11)</f>
        <v>0</v>
      </c>
      <c r="X33" s="79">
        <f t="shared" ref="X33:X35" si="11">IF(M33&lt;=0,0,R33*$S$12)</f>
        <v>0</v>
      </c>
      <c r="Y33" s="79">
        <f t="shared" ref="Y33:Y37" si="12">IF(OR(M33&lt;=0,$C$30=0,$C$30="%"),0,S33*$Q$13)</f>
        <v>0</v>
      </c>
      <c r="Z33" s="79">
        <f t="shared" ref="Z33:Z37" si="13">IF(OR(M33&lt;=0,$D$30=0,$D$30="%"),0,S33*$R$13)</f>
        <v>0</v>
      </c>
      <c r="AA33" s="80">
        <f t="shared" ref="AA33:AA37" si="14">IF(OR(M33&lt;=0,$E$30=0,$E$30="%"),0,S33*$S$13)</f>
        <v>0</v>
      </c>
      <c r="AB33" s="79">
        <f t="shared" si="8"/>
        <v>32.165601365440253</v>
      </c>
      <c r="AC33" s="79">
        <f t="shared" si="8"/>
        <v>10.215209061539962</v>
      </c>
      <c r="AD33" s="80">
        <f t="shared" ref="AD33:AD35" si="15">X33+AA33</f>
        <v>0</v>
      </c>
      <c r="AE33" s="94"/>
      <c r="AF33" s="94"/>
      <c r="AG33" s="94"/>
      <c r="AH33" s="94"/>
      <c r="AI33" s="94"/>
      <c r="AJ33" s="47"/>
      <c r="AK33" s="47"/>
    </row>
    <row r="34" spans="1:37" ht="35" x14ac:dyDescent="0.35">
      <c r="A34" s="47"/>
      <c r="B34" s="12" t="s">
        <v>11</v>
      </c>
      <c r="C34" s="140">
        <v>1500</v>
      </c>
      <c r="D34" s="16"/>
      <c r="E34" s="20"/>
      <c r="F34" s="47"/>
      <c r="G34" s="47"/>
      <c r="H34" s="47"/>
      <c r="I34" s="47"/>
      <c r="J34" s="47"/>
      <c r="K34" s="47"/>
      <c r="L34" s="95" t="s">
        <v>129</v>
      </c>
      <c r="M34" s="61">
        <f t="shared" si="6"/>
        <v>1</v>
      </c>
      <c r="N34" s="182">
        <f t="shared" si="7"/>
        <v>0.3</v>
      </c>
      <c r="O34" s="98">
        <v>153.05157537342367</v>
      </c>
      <c r="P34" s="99">
        <v>35.559987291326415</v>
      </c>
      <c r="Q34" s="99">
        <v>0</v>
      </c>
      <c r="R34" s="99">
        <v>0</v>
      </c>
      <c r="S34" s="99">
        <v>0</v>
      </c>
      <c r="T34" s="159">
        <f t="shared" ref="T34:T37" si="16">IF(M34&lt;=0,0,O34*$Q$9)</f>
        <v>70.403724671774896</v>
      </c>
      <c r="U34" s="166">
        <f t="shared" si="9"/>
        <v>7.1482686453024362</v>
      </c>
      <c r="V34" s="166">
        <f>IF(M34&lt;=0,0,Q34*$Q$11)</f>
        <v>0</v>
      </c>
      <c r="W34" s="166">
        <f t="shared" si="10"/>
        <v>0</v>
      </c>
      <c r="X34" s="166">
        <f t="shared" si="11"/>
        <v>0</v>
      </c>
      <c r="Y34" s="166">
        <f t="shared" si="12"/>
        <v>0</v>
      </c>
      <c r="Z34" s="166">
        <f t="shared" si="13"/>
        <v>0</v>
      </c>
      <c r="AA34" s="183">
        <f t="shared" si="14"/>
        <v>0</v>
      </c>
      <c r="AB34" s="166">
        <f t="shared" si="8"/>
        <v>70.403724671774896</v>
      </c>
      <c r="AC34" s="166">
        <f t="shared" si="8"/>
        <v>7.1482686453024362</v>
      </c>
      <c r="AD34" s="183">
        <f t="shared" si="15"/>
        <v>0</v>
      </c>
      <c r="AE34" s="94"/>
      <c r="AF34" s="94"/>
      <c r="AG34" s="94"/>
      <c r="AH34" s="94"/>
      <c r="AI34" s="94"/>
      <c r="AJ34" s="47"/>
      <c r="AK34" s="47"/>
    </row>
    <row r="35" spans="1:37" ht="17.5" x14ac:dyDescent="0.3">
      <c r="A35" s="47"/>
      <c r="B35" s="222"/>
      <c r="C35" s="222"/>
      <c r="D35" s="39"/>
      <c r="E35" s="20"/>
      <c r="F35" s="47"/>
      <c r="G35" s="47"/>
      <c r="H35" s="47"/>
      <c r="I35" s="47"/>
      <c r="J35" s="47"/>
      <c r="K35" s="47"/>
      <c r="L35" s="97" t="s">
        <v>113</v>
      </c>
      <c r="M35" s="61">
        <f t="shared" si="6"/>
        <v>1</v>
      </c>
      <c r="N35" s="96">
        <f t="shared" si="7"/>
        <v>0.7</v>
      </c>
      <c r="O35" s="98">
        <v>132.05277519160521</v>
      </c>
      <c r="P35" s="99">
        <v>3.3735749523868885</v>
      </c>
      <c r="Q35" s="99">
        <v>0</v>
      </c>
      <c r="R35" s="99">
        <v>0</v>
      </c>
      <c r="S35" s="92">
        <v>0</v>
      </c>
      <c r="T35" s="93">
        <f t="shared" si="16"/>
        <v>60.744276588138398</v>
      </c>
      <c r="U35" s="79">
        <f t="shared" si="9"/>
        <v>0.67815603692881232</v>
      </c>
      <c r="V35" s="79">
        <f>IF(M35&lt;=0,0,Q35*$Q$11)</f>
        <v>0</v>
      </c>
      <c r="W35" s="79">
        <f t="shared" si="10"/>
        <v>0</v>
      </c>
      <c r="X35" s="79">
        <f t="shared" si="11"/>
        <v>0</v>
      </c>
      <c r="Y35" s="79">
        <f t="shared" si="12"/>
        <v>0</v>
      </c>
      <c r="Z35" s="79">
        <f t="shared" si="13"/>
        <v>0</v>
      </c>
      <c r="AA35" s="80">
        <f t="shared" si="14"/>
        <v>0</v>
      </c>
      <c r="AB35" s="79">
        <f t="shared" si="8"/>
        <v>60.744276588138398</v>
      </c>
      <c r="AC35" s="79">
        <f t="shared" si="8"/>
        <v>0.67815603692881232</v>
      </c>
      <c r="AD35" s="80">
        <f t="shared" si="15"/>
        <v>0</v>
      </c>
      <c r="AE35" s="94"/>
      <c r="AF35" s="94"/>
      <c r="AG35" s="94"/>
      <c r="AH35" s="94"/>
      <c r="AI35" s="94"/>
      <c r="AJ35" s="47"/>
      <c r="AK35" s="47"/>
    </row>
    <row r="36" spans="1:37" ht="17.5" x14ac:dyDescent="0.35">
      <c r="A36" s="47"/>
      <c r="B36" s="16"/>
      <c r="C36" s="82"/>
      <c r="D36" s="17"/>
      <c r="E36" s="20"/>
      <c r="F36" s="47"/>
      <c r="G36" s="47"/>
      <c r="H36" s="47"/>
      <c r="I36" s="47"/>
      <c r="J36" s="47"/>
      <c r="K36" s="47"/>
      <c r="L36" s="95" t="s">
        <v>91</v>
      </c>
      <c r="M36" s="57">
        <f t="shared" si="6"/>
        <v>0</v>
      </c>
      <c r="N36" s="96">
        <f t="shared" si="7"/>
        <v>0</v>
      </c>
      <c r="O36" s="91">
        <v>0</v>
      </c>
      <c r="P36" s="92">
        <v>0</v>
      </c>
      <c r="Q36" s="92">
        <v>0</v>
      </c>
      <c r="R36" s="92">
        <v>0</v>
      </c>
      <c r="S36" s="92">
        <v>0</v>
      </c>
      <c r="T36" s="93">
        <f t="shared" si="16"/>
        <v>0</v>
      </c>
      <c r="U36" s="79">
        <f>IF(M36&lt;=0,0,P36*$R$10)</f>
        <v>0</v>
      </c>
      <c r="V36" s="79">
        <f>IF(M36&lt;=0,0,Q36*$Q$11)</f>
        <v>0</v>
      </c>
      <c r="W36" s="79">
        <f>IF(M36&lt;=0,0,Q36*$R$11)</f>
        <v>0</v>
      </c>
      <c r="X36" s="79">
        <f>IF(M36&lt;=0,0,R36*$S$12)</f>
        <v>0</v>
      </c>
      <c r="Y36" s="79">
        <f t="shared" si="12"/>
        <v>0</v>
      </c>
      <c r="Z36" s="79">
        <f t="shared" si="13"/>
        <v>0</v>
      </c>
      <c r="AA36" s="80">
        <f t="shared" si="14"/>
        <v>0</v>
      </c>
      <c r="AB36" s="79">
        <f t="shared" si="8"/>
        <v>0</v>
      </c>
      <c r="AC36" s="79">
        <f>U36+W36+Z36</f>
        <v>0</v>
      </c>
      <c r="AD36" s="80">
        <f>X36+AA36</f>
        <v>0</v>
      </c>
      <c r="AE36" s="94"/>
      <c r="AF36" s="94"/>
      <c r="AG36" s="94"/>
      <c r="AH36" s="94"/>
      <c r="AI36" s="94"/>
      <c r="AJ36" s="47"/>
      <c r="AK36" s="47"/>
    </row>
    <row r="37" spans="1:37" ht="17.5" x14ac:dyDescent="0.35">
      <c r="A37" s="47"/>
      <c r="B37" s="82"/>
      <c r="C37" s="16"/>
      <c r="D37" s="16"/>
      <c r="E37" s="20"/>
      <c r="F37" s="47"/>
      <c r="G37" s="47"/>
      <c r="H37" s="47"/>
      <c r="I37" s="47"/>
      <c r="J37" s="47"/>
      <c r="K37" s="47"/>
      <c r="L37" s="100" t="s">
        <v>91</v>
      </c>
      <c r="M37" s="64">
        <f t="shared" si="6"/>
        <v>0</v>
      </c>
      <c r="N37" s="101">
        <f t="shared" si="7"/>
        <v>0</v>
      </c>
      <c r="O37" s="91">
        <v>0</v>
      </c>
      <c r="P37" s="92">
        <v>0</v>
      </c>
      <c r="Q37" s="92">
        <v>0</v>
      </c>
      <c r="R37" s="92">
        <v>0</v>
      </c>
      <c r="S37" s="92">
        <v>0</v>
      </c>
      <c r="T37" s="93">
        <f t="shared" si="16"/>
        <v>0</v>
      </c>
      <c r="U37" s="79">
        <f t="shared" si="9"/>
        <v>0</v>
      </c>
      <c r="V37" s="79">
        <f t="shared" ref="V37" si="17">IF(M37&lt;=0,0,Q37*$Q$11)</f>
        <v>0</v>
      </c>
      <c r="W37" s="79">
        <f>IF(M37&lt;=0,0,Q37*$R$11)</f>
        <v>0</v>
      </c>
      <c r="X37" s="79">
        <f>IF(M37&lt;=0,0,R37*$S$12)</f>
        <v>0</v>
      </c>
      <c r="Y37" s="79">
        <f t="shared" si="12"/>
        <v>0</v>
      </c>
      <c r="Z37" s="79">
        <f t="shared" si="13"/>
        <v>0</v>
      </c>
      <c r="AA37" s="80">
        <f t="shared" si="14"/>
        <v>0</v>
      </c>
      <c r="AB37" s="86">
        <f t="shared" si="8"/>
        <v>0</v>
      </c>
      <c r="AC37" s="86">
        <f t="shared" si="8"/>
        <v>0</v>
      </c>
      <c r="AD37" s="87">
        <f>X37+AA37</f>
        <v>0</v>
      </c>
      <c r="AE37" s="94"/>
      <c r="AF37" s="94"/>
      <c r="AG37" s="94"/>
      <c r="AH37" s="94"/>
      <c r="AI37" s="94"/>
      <c r="AJ37" s="47"/>
      <c r="AK37" s="47"/>
    </row>
    <row r="38" spans="1:37" ht="17.5" x14ac:dyDescent="0.35">
      <c r="A38" s="47"/>
      <c r="B38" s="16"/>
      <c r="C38" s="16"/>
      <c r="D38" s="82"/>
      <c r="E38" s="20"/>
      <c r="F38" s="47"/>
      <c r="G38" s="47"/>
      <c r="H38" s="47"/>
      <c r="I38" s="47"/>
      <c r="J38" s="47"/>
      <c r="K38" s="47"/>
      <c r="L38" s="102" t="s">
        <v>35</v>
      </c>
      <c r="M38" s="89">
        <f>SUM(M32:M37)</f>
        <v>4</v>
      </c>
      <c r="N38" s="62"/>
      <c r="O38" s="103"/>
      <c r="P38" s="104"/>
      <c r="Q38" s="104"/>
      <c r="R38" s="104"/>
      <c r="S38" s="105"/>
      <c r="T38" s="104"/>
      <c r="U38" s="104"/>
      <c r="V38" s="104"/>
      <c r="W38" s="104"/>
      <c r="X38" s="104"/>
      <c r="Y38" s="104"/>
      <c r="Z38" s="104"/>
      <c r="AA38" s="105"/>
      <c r="AB38" s="84"/>
      <c r="AC38" s="84"/>
      <c r="AD38" s="85"/>
      <c r="AE38" s="77"/>
      <c r="AF38" s="77"/>
      <c r="AG38" s="77"/>
      <c r="AH38" s="77"/>
      <c r="AI38" s="77"/>
      <c r="AJ38" s="47"/>
      <c r="AK38" s="47"/>
    </row>
    <row r="39" spans="1:37" ht="17.5" x14ac:dyDescent="0.35">
      <c r="A39" s="47"/>
      <c r="B39" s="16"/>
      <c r="C39" s="16"/>
      <c r="D39" s="16"/>
      <c r="E39" s="20"/>
      <c r="F39" s="47"/>
      <c r="G39" s="47"/>
      <c r="H39" s="47"/>
      <c r="I39" s="47"/>
      <c r="J39" s="47"/>
      <c r="K39" s="47"/>
      <c r="N39" s="64" t="s">
        <v>104</v>
      </c>
      <c r="O39" s="103">
        <f>$M$32*O32+$M$33*O33+$M$34*O34+$M$35*O35+$M$36*O36+$M$37*O37</f>
        <v>560.45488884920155</v>
      </c>
      <c r="P39" s="104">
        <f t="shared" ref="P39:S39" si="18">$M$32*P32+$M$33*P33+$M$34*P34+$M$35*P35+$M$36*P36+$M$37*P37</f>
        <v>120.40572389428152</v>
      </c>
      <c r="Q39" s="104">
        <f t="shared" si="18"/>
        <v>0</v>
      </c>
      <c r="R39" s="104">
        <f t="shared" si="18"/>
        <v>0</v>
      </c>
      <c r="S39" s="105">
        <f t="shared" si="18"/>
        <v>0</v>
      </c>
      <c r="AJ39" s="47"/>
      <c r="AK39" s="47"/>
    </row>
    <row r="40" spans="1:37" ht="17.5" x14ac:dyDescent="0.35">
      <c r="A40" s="47"/>
      <c r="B40" s="16"/>
      <c r="C40" s="16"/>
      <c r="D40" s="16"/>
      <c r="E40" s="20"/>
      <c r="F40" s="47"/>
      <c r="G40" s="47"/>
      <c r="H40" s="47"/>
      <c r="I40" s="47"/>
      <c r="J40" s="47"/>
      <c r="K40" s="47"/>
      <c r="AJ40" s="47"/>
      <c r="AK40" s="47"/>
    </row>
    <row r="41" spans="1:37" ht="18" x14ac:dyDescent="0.4">
      <c r="A41" s="47"/>
      <c r="B41" s="228" t="s">
        <v>74</v>
      </c>
      <c r="C41" s="229"/>
      <c r="D41" s="229"/>
      <c r="E41" s="229"/>
      <c r="F41" s="229"/>
      <c r="G41" s="230"/>
      <c r="H41" s="47"/>
      <c r="I41" s="47"/>
      <c r="J41" s="47"/>
      <c r="K41" s="47"/>
      <c r="AJ41" s="47"/>
      <c r="AK41" s="47"/>
    </row>
    <row r="42" spans="1:37" ht="18" x14ac:dyDescent="0.4">
      <c r="A42" s="47"/>
      <c r="B42" s="29"/>
      <c r="C42" s="225" t="s">
        <v>44</v>
      </c>
      <c r="D42" s="226"/>
      <c r="E42" s="226"/>
      <c r="F42" s="226"/>
      <c r="G42" s="227"/>
      <c r="H42" s="47"/>
      <c r="I42" s="47"/>
      <c r="J42" s="47"/>
      <c r="K42" s="47"/>
      <c r="AJ42" s="47"/>
      <c r="AK42" s="47"/>
    </row>
    <row r="43" spans="1:37" ht="18" x14ac:dyDescent="0.4">
      <c r="A43" s="47"/>
      <c r="B43" s="42" t="s">
        <v>5</v>
      </c>
      <c r="C43" s="40" t="s">
        <v>9</v>
      </c>
      <c r="D43" s="40" t="s">
        <v>12</v>
      </c>
      <c r="E43" s="40" t="s">
        <v>13</v>
      </c>
      <c r="F43" s="40" t="s">
        <v>14</v>
      </c>
      <c r="G43" s="40" t="str">
        <f>LEFT(B30,4)</f>
        <v>xxx</v>
      </c>
      <c r="H43" s="47"/>
      <c r="I43" s="47"/>
      <c r="J43" s="47"/>
      <c r="K43" s="47"/>
      <c r="AJ43" s="47"/>
      <c r="AK43" s="47"/>
    </row>
    <row r="44" spans="1:37" ht="17.5" x14ac:dyDescent="0.35">
      <c r="A44" s="47"/>
      <c r="B44" s="198" t="s">
        <v>120</v>
      </c>
      <c r="C44" s="6">
        <f>O32</f>
        <v>205.42531792452002</v>
      </c>
      <c r="D44" s="6">
        <f>P32</f>
        <v>30.655282426909068</v>
      </c>
      <c r="E44" s="6">
        <f>Q32</f>
        <v>0</v>
      </c>
      <c r="F44" s="6">
        <f>R32</f>
        <v>0</v>
      </c>
      <c r="G44" s="6">
        <f>S32</f>
        <v>0</v>
      </c>
      <c r="H44" s="47"/>
      <c r="I44" s="47"/>
      <c r="J44" s="47"/>
      <c r="K44" s="47"/>
      <c r="N44" s="210" t="s">
        <v>50</v>
      </c>
      <c r="O44" s="211"/>
      <c r="P44" s="211"/>
      <c r="Q44" s="211"/>
      <c r="R44" s="211"/>
      <c r="S44" s="211"/>
      <c r="T44" s="211"/>
      <c r="U44" s="218"/>
      <c r="Y44" s="66"/>
      <c r="AJ44" s="47"/>
      <c r="AK44" s="47"/>
    </row>
    <row r="45" spans="1:37" ht="17.5" x14ac:dyDescent="0.35">
      <c r="A45" s="47"/>
      <c r="B45" s="198" t="s">
        <v>130</v>
      </c>
      <c r="C45" s="6">
        <f t="shared" ref="C45:F49" si="19">O33</f>
        <v>69.925220359652727</v>
      </c>
      <c r="D45" s="6">
        <f t="shared" si="19"/>
        <v>50.81687922365915</v>
      </c>
      <c r="E45" s="6">
        <f t="shared" si="19"/>
        <v>0</v>
      </c>
      <c r="F45" s="6">
        <f t="shared" si="19"/>
        <v>0</v>
      </c>
      <c r="G45" s="6">
        <f t="shared" ref="G45:G48" si="20">S33</f>
        <v>0</v>
      </c>
      <c r="H45" s="47"/>
      <c r="I45" s="47"/>
      <c r="J45" s="47"/>
      <c r="K45" s="47"/>
      <c r="N45" s="100" t="s">
        <v>5</v>
      </c>
      <c r="O45" s="57" t="s">
        <v>51</v>
      </c>
      <c r="P45" s="66" t="s">
        <v>52</v>
      </c>
      <c r="Q45" s="66" t="s">
        <v>53</v>
      </c>
      <c r="R45" s="66" t="s">
        <v>54</v>
      </c>
      <c r="S45" s="106" t="str">
        <f>P13</f>
        <v>xxx</v>
      </c>
      <c r="T45" s="57" t="s">
        <v>98</v>
      </c>
      <c r="U45" s="89" t="s">
        <v>10</v>
      </c>
      <c r="Y45" s="66"/>
      <c r="AJ45" s="47"/>
      <c r="AK45" s="47"/>
    </row>
    <row r="46" spans="1:37" ht="17.5" x14ac:dyDescent="0.35">
      <c r="A46" s="47"/>
      <c r="B46" s="198" t="s">
        <v>129</v>
      </c>
      <c r="C46" s="6">
        <f t="shared" si="19"/>
        <v>153.05157537342367</v>
      </c>
      <c r="D46" s="6">
        <f t="shared" si="19"/>
        <v>35.559987291326415</v>
      </c>
      <c r="E46" s="6">
        <f t="shared" si="19"/>
        <v>0</v>
      </c>
      <c r="F46" s="6">
        <f t="shared" si="19"/>
        <v>0</v>
      </c>
      <c r="G46" s="6">
        <f t="shared" si="20"/>
        <v>0</v>
      </c>
      <c r="H46" s="47"/>
      <c r="I46" s="47"/>
      <c r="J46" s="47"/>
      <c r="K46" s="47"/>
      <c r="L46" s="66"/>
      <c r="N46" s="90" t="s">
        <v>120</v>
      </c>
      <c r="O46" s="71">
        <f>O32*$T$9</f>
        <v>246.51038150942401</v>
      </c>
      <c r="P46" s="72">
        <f t="shared" ref="P46:P51" si="21">P32*$T$10</f>
        <v>36.78633891229088</v>
      </c>
      <c r="Q46" s="72">
        <f>Q32*$T$11</f>
        <v>0</v>
      </c>
      <c r="R46" s="72">
        <f t="shared" ref="R46:R51" si="22">R32*$T$12</f>
        <v>0</v>
      </c>
      <c r="S46" s="72">
        <f t="shared" ref="S46:S51" si="23">S32*$T$13</f>
        <v>0</v>
      </c>
      <c r="T46" s="179">
        <f>SUM(O46:S46)*M32</f>
        <v>283.29672042171489</v>
      </c>
      <c r="U46" s="50"/>
      <c r="Y46" s="66"/>
      <c r="AJ46" s="47"/>
      <c r="AK46" s="47"/>
    </row>
    <row r="47" spans="1:37" ht="15.75" customHeight="1" x14ac:dyDescent="0.35">
      <c r="A47" s="47"/>
      <c r="B47" s="198" t="s">
        <v>113</v>
      </c>
      <c r="C47" s="6">
        <f t="shared" si="19"/>
        <v>132.05277519160521</v>
      </c>
      <c r="D47" s="6">
        <f t="shared" si="19"/>
        <v>3.3735749523868885</v>
      </c>
      <c r="E47" s="6">
        <f t="shared" si="19"/>
        <v>0</v>
      </c>
      <c r="F47" s="6">
        <f t="shared" si="19"/>
        <v>0</v>
      </c>
      <c r="G47" s="6">
        <f t="shared" si="20"/>
        <v>0</v>
      </c>
      <c r="H47" s="47"/>
      <c r="I47" s="47"/>
      <c r="J47" s="47"/>
      <c r="K47" s="47"/>
      <c r="N47" s="95" t="s">
        <v>128</v>
      </c>
      <c r="O47" s="76">
        <f t="shared" ref="O47:O51" si="24">O33*$T$9</f>
        <v>83.910264431583272</v>
      </c>
      <c r="P47" s="77">
        <f t="shared" si="21"/>
        <v>60.980255068390974</v>
      </c>
      <c r="Q47" s="77">
        <f t="shared" ref="Q47:Q51" si="25">Q33*$T$11</f>
        <v>0</v>
      </c>
      <c r="R47" s="77">
        <f>R33*$T$12</f>
        <v>0</v>
      </c>
      <c r="S47" s="77">
        <f t="shared" si="23"/>
        <v>0</v>
      </c>
      <c r="T47" s="180">
        <f t="shared" ref="T47:T51" si="26">SUM(O47:S47)*M33</f>
        <v>144.89051949997423</v>
      </c>
      <c r="U47" s="107"/>
      <c r="AJ47" s="47"/>
      <c r="AK47" s="47"/>
    </row>
    <row r="48" spans="1:37" ht="17.5" x14ac:dyDescent="0.35">
      <c r="A48" s="47"/>
      <c r="B48" s="198" t="s">
        <v>91</v>
      </c>
      <c r="C48" s="6">
        <f t="shared" si="19"/>
        <v>0</v>
      </c>
      <c r="D48" s="6">
        <f t="shared" si="19"/>
        <v>0</v>
      </c>
      <c r="E48" s="6">
        <f t="shared" si="19"/>
        <v>0</v>
      </c>
      <c r="F48" s="6">
        <f t="shared" si="19"/>
        <v>0</v>
      </c>
      <c r="G48" s="6">
        <f t="shared" si="20"/>
        <v>0</v>
      </c>
      <c r="H48" s="47"/>
      <c r="I48" s="47"/>
      <c r="J48" s="47"/>
      <c r="K48" s="47"/>
      <c r="N48" s="95" t="s">
        <v>129</v>
      </c>
      <c r="O48" s="76">
        <f t="shared" si="24"/>
        <v>183.66189044810841</v>
      </c>
      <c r="P48" s="77">
        <f t="shared" si="21"/>
        <v>42.671984749591694</v>
      </c>
      <c r="Q48" s="77">
        <f t="shared" si="25"/>
        <v>0</v>
      </c>
      <c r="R48" s="77">
        <f t="shared" si="22"/>
        <v>0</v>
      </c>
      <c r="S48" s="77">
        <f t="shared" si="23"/>
        <v>0</v>
      </c>
      <c r="T48" s="180">
        <f t="shared" si="26"/>
        <v>226.33387519770011</v>
      </c>
      <c r="U48" s="107"/>
      <c r="AJ48" s="47"/>
      <c r="AK48" s="47"/>
    </row>
    <row r="49" spans="1:37" ht="17.5" x14ac:dyDescent="0.35">
      <c r="A49" s="47"/>
      <c r="B49" s="198" t="s">
        <v>91</v>
      </c>
      <c r="C49" s="7">
        <f>O37</f>
        <v>0</v>
      </c>
      <c r="D49" s="7">
        <f t="shared" si="19"/>
        <v>0</v>
      </c>
      <c r="E49" s="7">
        <f t="shared" si="19"/>
        <v>0</v>
      </c>
      <c r="F49" s="7">
        <f t="shared" si="19"/>
        <v>0</v>
      </c>
      <c r="G49" s="7">
        <f>S37</f>
        <v>0</v>
      </c>
      <c r="H49" s="47"/>
      <c r="I49" s="47"/>
      <c r="J49" s="47"/>
      <c r="K49" s="47"/>
      <c r="N49" s="97" t="s">
        <v>113</v>
      </c>
      <c r="O49" s="76">
        <f t="shared" si="24"/>
        <v>158.46333022992624</v>
      </c>
      <c r="P49" s="77">
        <f t="shared" si="21"/>
        <v>4.0482899428642662</v>
      </c>
      <c r="Q49" s="77">
        <f t="shared" si="25"/>
        <v>0</v>
      </c>
      <c r="R49" s="77">
        <f t="shared" si="22"/>
        <v>0</v>
      </c>
      <c r="S49" s="77">
        <f t="shared" si="23"/>
        <v>0</v>
      </c>
      <c r="T49" s="180">
        <f t="shared" si="26"/>
        <v>162.51162017279051</v>
      </c>
      <c r="U49" s="107"/>
      <c r="AJ49" s="47"/>
      <c r="AK49" s="47"/>
    </row>
    <row r="50" spans="1:37" ht="18" x14ac:dyDescent="0.4">
      <c r="A50" s="47"/>
      <c r="B50" s="199" t="s">
        <v>104</v>
      </c>
      <c r="C50" s="41">
        <f>O39</f>
        <v>560.45488884920155</v>
      </c>
      <c r="D50" s="41">
        <f>P39</f>
        <v>120.40572389428152</v>
      </c>
      <c r="E50" s="41">
        <f>Q39</f>
        <v>0</v>
      </c>
      <c r="F50" s="41">
        <f>R39</f>
        <v>0</v>
      </c>
      <c r="G50" s="41">
        <f>S39</f>
        <v>0</v>
      </c>
      <c r="H50" s="47"/>
      <c r="I50" s="47"/>
      <c r="J50" s="47"/>
      <c r="K50" s="47"/>
      <c r="N50" s="95" t="s">
        <v>91</v>
      </c>
      <c r="O50" s="76">
        <f t="shared" si="24"/>
        <v>0</v>
      </c>
      <c r="P50" s="77">
        <f>P36*$T$10</f>
        <v>0</v>
      </c>
      <c r="Q50" s="77">
        <f t="shared" si="25"/>
        <v>0</v>
      </c>
      <c r="R50" s="77">
        <f t="shared" si="22"/>
        <v>0</v>
      </c>
      <c r="S50" s="77">
        <f t="shared" si="23"/>
        <v>0</v>
      </c>
      <c r="T50" s="180">
        <f t="shared" si="26"/>
        <v>0</v>
      </c>
      <c r="U50" s="107"/>
      <c r="W50" s="210" t="s">
        <v>69</v>
      </c>
      <c r="X50" s="212"/>
      <c r="AJ50" s="47"/>
      <c r="AK50" s="47"/>
    </row>
    <row r="51" spans="1:37" x14ac:dyDescent="0.3">
      <c r="A51" s="47"/>
      <c r="B51" s="47"/>
      <c r="C51" s="47"/>
      <c r="D51" s="47"/>
      <c r="E51" s="47"/>
      <c r="F51" s="47"/>
      <c r="G51" s="18"/>
      <c r="H51" s="18"/>
      <c r="I51" s="47"/>
      <c r="J51" s="47"/>
      <c r="K51" s="47"/>
      <c r="N51" s="100" t="s">
        <v>91</v>
      </c>
      <c r="O51" s="76">
        <f t="shared" si="24"/>
        <v>0</v>
      </c>
      <c r="P51" s="77">
        <f t="shared" si="21"/>
        <v>0</v>
      </c>
      <c r="Q51" s="77">
        <f t="shared" si="25"/>
        <v>0</v>
      </c>
      <c r="R51" s="77">
        <f t="shared" si="22"/>
        <v>0</v>
      </c>
      <c r="S51" s="77">
        <f t="shared" si="23"/>
        <v>0</v>
      </c>
      <c r="T51" s="181">
        <f t="shared" si="26"/>
        <v>0</v>
      </c>
      <c r="U51" s="63"/>
      <c r="W51" s="64" t="s">
        <v>62</v>
      </c>
      <c r="X51" s="89" t="s">
        <v>63</v>
      </c>
      <c r="AJ51" s="47"/>
      <c r="AK51" s="47"/>
    </row>
    <row r="52" spans="1:37" ht="18" x14ac:dyDescent="0.4">
      <c r="A52" s="47"/>
      <c r="B52" s="228" t="s">
        <v>103</v>
      </c>
      <c r="C52" s="231"/>
      <c r="D52" s="232"/>
      <c r="E52" s="47"/>
      <c r="F52" s="47"/>
      <c r="G52" s="18"/>
      <c r="H52" s="18"/>
      <c r="I52" s="47"/>
      <c r="J52" s="47"/>
      <c r="K52" s="47"/>
      <c r="N52" s="102" t="s">
        <v>35</v>
      </c>
      <c r="O52" s="108">
        <f>SUM(O46:O51)</f>
        <v>672.54586661904182</v>
      </c>
      <c r="P52" s="109">
        <f t="shared" ref="P52:S52" si="27">SUM(P46:P51)</f>
        <v>144.48686867313782</v>
      </c>
      <c r="Q52" s="109">
        <f t="shared" si="27"/>
        <v>0</v>
      </c>
      <c r="R52" s="109">
        <f t="shared" si="27"/>
        <v>0</v>
      </c>
      <c r="S52" s="110">
        <f t="shared" si="27"/>
        <v>0</v>
      </c>
      <c r="T52" s="111">
        <f>SUM(T46:T51)</f>
        <v>817.03273529217972</v>
      </c>
      <c r="U52" s="112">
        <f>C34</f>
        <v>1500</v>
      </c>
      <c r="W52" s="64">
        <v>20</v>
      </c>
      <c r="X52" s="101">
        <v>10</v>
      </c>
      <c r="Z52" s="66"/>
      <c r="AA52" s="66"/>
      <c r="AJ52" s="47"/>
      <c r="AK52" s="47"/>
    </row>
    <row r="53" spans="1:37" ht="36" customHeight="1" x14ac:dyDescent="0.3">
      <c r="A53" s="47"/>
      <c r="B53" s="42" t="s">
        <v>5</v>
      </c>
      <c r="C53" s="44" t="s">
        <v>70</v>
      </c>
      <c r="D53" s="45" t="s">
        <v>45</v>
      </c>
      <c r="E53" s="47"/>
      <c r="F53" s="47"/>
      <c r="G53" s="19"/>
      <c r="H53" s="19"/>
      <c r="I53" s="47"/>
      <c r="J53" s="47"/>
      <c r="K53" s="47"/>
      <c r="T53" s="52"/>
      <c r="Y53" s="66"/>
      <c r="AJ53" s="47"/>
      <c r="AK53" s="47"/>
    </row>
    <row r="54" spans="1:37" ht="17.5" x14ac:dyDescent="0.35">
      <c r="A54" s="47"/>
      <c r="B54" s="207" t="s">
        <v>120</v>
      </c>
      <c r="C54" s="8">
        <f>Y60</f>
        <v>1843.4724343400858</v>
      </c>
      <c r="D54" s="9">
        <f>Z60</f>
        <v>638.439496748328</v>
      </c>
      <c r="E54" s="47"/>
      <c r="F54" s="47"/>
      <c r="G54" s="113"/>
      <c r="H54" s="113"/>
      <c r="I54" s="47"/>
      <c r="J54" s="47"/>
      <c r="K54" s="47"/>
      <c r="Y54" s="114"/>
      <c r="AJ54" s="47"/>
      <c r="AK54" s="47"/>
    </row>
    <row r="55" spans="1:37" ht="17.5" x14ac:dyDescent="0.35">
      <c r="A55" s="47"/>
      <c r="B55" s="198" t="s">
        <v>130</v>
      </c>
      <c r="C55" s="8">
        <f>Y63</f>
        <v>1221.4029006964674</v>
      </c>
      <c r="D55" s="9">
        <f>Z63</f>
        <v>221.53035070896607</v>
      </c>
      <c r="E55" s="47"/>
      <c r="F55" s="47"/>
      <c r="G55" s="113"/>
      <c r="H55" s="113"/>
      <c r="I55" s="47"/>
      <c r="J55" s="47"/>
      <c r="K55" s="47"/>
      <c r="Y55" s="114"/>
      <c r="AJ55" s="47"/>
      <c r="AK55" s="47"/>
    </row>
    <row r="56" spans="1:37" ht="17.5" x14ac:dyDescent="0.35">
      <c r="A56" s="47"/>
      <c r="B56" s="200" t="s">
        <v>129</v>
      </c>
      <c r="C56" s="8">
        <f>Y66</f>
        <v>1751.8429704972464</v>
      </c>
      <c r="D56" s="9">
        <f>Z66</f>
        <v>299.21901595147381</v>
      </c>
      <c r="E56" s="47"/>
      <c r="F56" s="47"/>
      <c r="G56" s="113"/>
      <c r="H56" s="113"/>
      <c r="I56" s="47"/>
      <c r="J56" s="47"/>
      <c r="K56" s="47"/>
      <c r="Y56" s="114"/>
      <c r="AJ56" s="47"/>
      <c r="AK56" s="47"/>
    </row>
    <row r="57" spans="1:37" ht="17.5" x14ac:dyDescent="0.35">
      <c r="A57" s="47"/>
      <c r="B57" s="200" t="s">
        <v>113</v>
      </c>
      <c r="C57" s="8">
        <f>Y69</f>
        <v>922.88678113838307</v>
      </c>
      <c r="D57" s="9">
        <f>Z69</f>
        <v>483.50912662407751</v>
      </c>
      <c r="E57" s="47"/>
      <c r="F57" s="47"/>
      <c r="G57" s="113"/>
      <c r="H57" s="113"/>
      <c r="I57" s="47"/>
      <c r="J57" s="47"/>
      <c r="K57" s="47"/>
      <c r="Y57" s="114"/>
      <c r="AJ57" s="47"/>
      <c r="AK57" s="47"/>
    </row>
    <row r="58" spans="1:37" ht="17.5" x14ac:dyDescent="0.35">
      <c r="A58" s="47"/>
      <c r="B58" s="200" t="s">
        <v>91</v>
      </c>
      <c r="C58" s="8">
        <f>Y72</f>
        <v>0</v>
      </c>
      <c r="D58" s="9">
        <f>Z72</f>
        <v>0</v>
      </c>
      <c r="E58" s="47"/>
      <c r="F58" s="47"/>
      <c r="G58" s="113"/>
      <c r="H58" s="113"/>
      <c r="I58" s="47"/>
      <c r="J58" s="47"/>
      <c r="K58" s="47"/>
      <c r="L58" s="210" t="s">
        <v>49</v>
      </c>
      <c r="M58" s="211"/>
      <c r="N58" s="211"/>
      <c r="O58" s="211"/>
      <c r="P58" s="211"/>
      <c r="Q58" s="211"/>
      <c r="R58" s="212"/>
      <c r="S58" s="210" t="s">
        <v>47</v>
      </c>
      <c r="T58" s="211"/>
      <c r="U58" s="211"/>
      <c r="V58" s="211"/>
      <c r="W58" s="210" t="s">
        <v>105</v>
      </c>
      <c r="X58" s="212"/>
      <c r="Y58" s="210" t="s">
        <v>106</v>
      </c>
      <c r="Z58" s="212"/>
      <c r="AJ58" s="47"/>
      <c r="AK58" s="47"/>
    </row>
    <row r="59" spans="1:37" ht="17.5" x14ac:dyDescent="0.35">
      <c r="A59" s="47"/>
      <c r="B59" s="208" t="s">
        <v>91</v>
      </c>
      <c r="C59" s="10">
        <f>Y75</f>
        <v>0</v>
      </c>
      <c r="D59" s="11">
        <f>Z75</f>
        <v>0</v>
      </c>
      <c r="E59" s="47"/>
      <c r="F59" s="47"/>
      <c r="G59" s="113"/>
      <c r="H59" s="113"/>
      <c r="I59" s="47"/>
      <c r="J59" s="47"/>
      <c r="K59" s="47"/>
      <c r="L59" s="90" t="s">
        <v>0</v>
      </c>
      <c r="M59" s="54" t="s">
        <v>107</v>
      </c>
      <c r="N59" s="52" t="s">
        <v>108</v>
      </c>
      <c r="O59" s="52" t="s">
        <v>109</v>
      </c>
      <c r="P59" s="115" t="s">
        <v>46</v>
      </c>
      <c r="Q59" s="52" t="s">
        <v>60</v>
      </c>
      <c r="R59" s="52" t="s">
        <v>48</v>
      </c>
      <c r="S59" s="54" t="s">
        <v>42</v>
      </c>
      <c r="T59" s="52" t="s">
        <v>43</v>
      </c>
      <c r="U59" s="52" t="s">
        <v>2</v>
      </c>
      <c r="V59" s="52" t="s">
        <v>1</v>
      </c>
      <c r="W59" s="57" t="s">
        <v>62</v>
      </c>
      <c r="X59" s="106" t="s">
        <v>63</v>
      </c>
      <c r="Y59" s="57" t="s">
        <v>70</v>
      </c>
      <c r="Z59" s="106" t="s">
        <v>45</v>
      </c>
      <c r="AJ59" s="47"/>
      <c r="AK59" s="47"/>
    </row>
    <row r="60" spans="1:37" x14ac:dyDescent="0.3">
      <c r="A60" s="47"/>
      <c r="B60" s="116"/>
      <c r="C60" s="116"/>
      <c r="D60" s="116"/>
      <c r="E60" s="47"/>
      <c r="F60" s="47"/>
      <c r="G60" s="47"/>
      <c r="H60" s="47"/>
      <c r="I60" s="47"/>
      <c r="J60" s="47"/>
      <c r="K60" s="47"/>
      <c r="L60" s="49" t="s">
        <v>117</v>
      </c>
      <c r="M60" s="164">
        <v>4.5789999999999997</v>
      </c>
      <c r="N60" s="122">
        <v>1.8220000000000001</v>
      </c>
      <c r="O60" s="122">
        <v>0.97899999999999998</v>
      </c>
      <c r="P60" s="52">
        <f t="shared" ref="P60:P61" si="28">M60-N60</f>
        <v>2.7569999999999997</v>
      </c>
      <c r="Q60" s="72">
        <f>IFERROR((M60-N60*POWER(O60,AB32)-(P60)),0)</f>
        <v>1.576781699652102</v>
      </c>
      <c r="R60" s="72">
        <f t="shared" ref="R60:R61" si="29">Q60*1000</f>
        <v>1576.7816996521019</v>
      </c>
      <c r="S60" s="185">
        <f>R60*N32*M32</f>
        <v>788.39084982605095</v>
      </c>
      <c r="T60" s="117">
        <f>S60+S61+S62</f>
        <v>921.73621717004289</v>
      </c>
      <c r="U60" s="117">
        <f>T46</f>
        <v>283.29672042171489</v>
      </c>
      <c r="V60" s="117">
        <f>T60-U60</f>
        <v>638.439496748328</v>
      </c>
      <c r="W60" s="118"/>
      <c r="X60" s="149"/>
      <c r="Y60" s="118">
        <f>R60+R61+R62</f>
        <v>1843.4724343400858</v>
      </c>
      <c r="Z60" s="119">
        <f>IF(OR(M32=0,M32=1),$V$60,IF(M32&lt;1,$V$60/M32,IF(M32&gt;1,$V$60/M32,0)))</f>
        <v>638.439496748328</v>
      </c>
      <c r="AJ60" s="47"/>
      <c r="AK60" s="47"/>
    </row>
    <row r="61" spans="1:37" ht="18" x14ac:dyDescent="0.4">
      <c r="A61" s="47"/>
      <c r="B61" s="228" t="s">
        <v>101</v>
      </c>
      <c r="C61" s="229"/>
      <c r="D61" s="230"/>
      <c r="E61" s="47"/>
      <c r="F61" s="47"/>
      <c r="G61" s="47"/>
      <c r="H61" s="47"/>
      <c r="I61" s="47"/>
      <c r="J61" s="47"/>
      <c r="K61" s="47"/>
      <c r="L61" s="131" t="s">
        <v>118</v>
      </c>
      <c r="M61" s="61">
        <v>2.5</v>
      </c>
      <c r="N61" s="147">
        <v>0.3</v>
      </c>
      <c r="O61" s="147">
        <v>0.7</v>
      </c>
      <c r="P61" s="66">
        <f t="shared" si="28"/>
        <v>2.2000000000000002</v>
      </c>
      <c r="Q61" s="77">
        <f>IFERROR(((M61-N61*POWER(O61,AC32)-(P61))*W61),0)</f>
        <v>0.26669073468798388</v>
      </c>
      <c r="R61" s="77">
        <f t="shared" si="29"/>
        <v>266.69073468798388</v>
      </c>
      <c r="S61" s="184">
        <f>R61*N32*M32</f>
        <v>133.34536734399194</v>
      </c>
      <c r="T61" s="67"/>
      <c r="U61" s="67"/>
      <c r="V61" s="67"/>
      <c r="W61" s="93">
        <f>IF(AB32&lt;$W$52,0,1)</f>
        <v>1</v>
      </c>
      <c r="X61" s="136"/>
      <c r="Y61" s="133"/>
      <c r="Z61" s="107"/>
      <c r="AJ61" s="47"/>
      <c r="AK61" s="47"/>
    </row>
    <row r="62" spans="1:37" ht="35" x14ac:dyDescent="0.35">
      <c r="A62" s="47"/>
      <c r="B62" s="13" t="s">
        <v>100</v>
      </c>
      <c r="C62" s="233">
        <f>V89</f>
        <v>1642.6979900328452</v>
      </c>
      <c r="D62" s="234"/>
      <c r="E62" s="47"/>
      <c r="F62" s="47"/>
      <c r="G62" s="47"/>
      <c r="H62" s="47"/>
      <c r="I62" s="47"/>
      <c r="J62" s="47"/>
      <c r="K62" s="47"/>
      <c r="L62" s="155" t="s">
        <v>119</v>
      </c>
      <c r="M62" s="61">
        <v>0</v>
      </c>
      <c r="N62" s="147">
        <v>0</v>
      </c>
      <c r="O62" s="147">
        <v>0</v>
      </c>
      <c r="P62" s="147">
        <f t="shared" ref="P62" si="30">M62-N62</f>
        <v>0</v>
      </c>
      <c r="Q62" s="148">
        <f>IFERROR(((M62-N62*POWER(O62,AD32)-(P62))*X62),0)</f>
        <v>0</v>
      </c>
      <c r="R62" s="148">
        <f t="shared" ref="R62" si="31">Q62*1000</f>
        <v>0</v>
      </c>
      <c r="S62" s="186">
        <f>R62*N32*M32</f>
        <v>0</v>
      </c>
      <c r="T62" s="150"/>
      <c r="U62" s="150"/>
      <c r="V62" s="150"/>
      <c r="W62" s="159"/>
      <c r="X62" s="160">
        <f>IF(AC32&lt;$X$52,0,1)</f>
        <v>0</v>
      </c>
      <c r="Y62" s="161"/>
      <c r="Z62" s="162"/>
      <c r="AJ62" s="47"/>
      <c r="AK62" s="47"/>
    </row>
    <row r="63" spans="1:37" x14ac:dyDescent="0.3">
      <c r="A63" s="47"/>
      <c r="B63" s="127"/>
      <c r="C63" s="127"/>
      <c r="D63" s="127"/>
      <c r="E63" s="127"/>
      <c r="F63" s="14"/>
      <c r="G63" s="18"/>
      <c r="H63" s="18"/>
      <c r="I63" s="47"/>
      <c r="J63" s="47"/>
      <c r="K63" s="47"/>
      <c r="L63" s="154" t="s">
        <v>121</v>
      </c>
      <c r="M63" s="122">
        <v>4.2290000000000001</v>
      </c>
      <c r="N63" s="122">
        <v>0.81</v>
      </c>
      <c r="O63" s="122">
        <v>0.95699999999999996</v>
      </c>
      <c r="P63" s="122">
        <f t="shared" ref="P63:P71" si="32">M63-N63</f>
        <v>3.419</v>
      </c>
      <c r="Q63" s="72">
        <f>IFERROR((M63-N63*POWER(O63,AB33)-(P63)),0)</f>
        <v>0.61298194896803748</v>
      </c>
      <c r="R63" s="153">
        <f t="shared" ref="R63:R70" si="33">Q63*1000</f>
        <v>612.9819489680375</v>
      </c>
      <c r="S63" s="187">
        <f>R63*N33*M33</f>
        <v>183.89458469041125</v>
      </c>
      <c r="T63" s="124">
        <f>S63+S64+S65</f>
        <v>366.4208702089403</v>
      </c>
      <c r="U63" s="124">
        <f>T47</f>
        <v>144.89051949997423</v>
      </c>
      <c r="V63" s="152">
        <f>T63-U63</f>
        <v>221.53035070896607</v>
      </c>
      <c r="W63" s="157"/>
      <c r="X63" s="126"/>
      <c r="Y63" s="149">
        <f>R63+R64+R65</f>
        <v>1221.4029006964674</v>
      </c>
      <c r="Z63" s="119">
        <f>IF(OR(M33=0,M33=1),$V$63,IF(M33&lt;1,$V$63/M33,IF(M33&gt;1,$V$63/M33,0)))</f>
        <v>221.53035070896607</v>
      </c>
      <c r="AJ63" s="47"/>
      <c r="AK63" s="47"/>
    </row>
    <row r="64" spans="1:37" x14ac:dyDescent="0.3">
      <c r="A64" s="47"/>
      <c r="B64" s="127"/>
      <c r="C64" s="127"/>
      <c r="D64" s="127"/>
      <c r="E64" s="127"/>
      <c r="F64" s="19"/>
      <c r="G64" s="18"/>
      <c r="H64" s="18"/>
      <c r="I64" s="47"/>
      <c r="J64" s="47"/>
      <c r="K64" s="47"/>
      <c r="L64" s="95" t="s">
        <v>122</v>
      </c>
      <c r="M64" s="147">
        <v>4.0369999999999999</v>
      </c>
      <c r="N64" s="147">
        <v>0.71499999999999997</v>
      </c>
      <c r="O64" s="147">
        <v>0.83</v>
      </c>
      <c r="P64" s="66">
        <f t="shared" si="32"/>
        <v>3.3220000000000001</v>
      </c>
      <c r="Q64" s="77">
        <f>IFERROR(((M64-N64*POWER(O64,AC33)-(P64))*W64),0)</f>
        <v>0.60842095172843003</v>
      </c>
      <c r="R64" s="78">
        <f t="shared" si="33"/>
        <v>608.42095172843005</v>
      </c>
      <c r="S64" s="188">
        <f>R64*N33*M33</f>
        <v>182.52628551852902</v>
      </c>
      <c r="T64" s="67"/>
      <c r="U64" s="67"/>
      <c r="V64" s="60"/>
      <c r="W64" s="79">
        <f>IF(AB33&lt;$W$52,0,1)</f>
        <v>1</v>
      </c>
      <c r="X64" s="134"/>
      <c r="Y64" s="136"/>
      <c r="Z64" s="107"/>
      <c r="AJ64" s="47"/>
      <c r="AK64" s="47"/>
    </row>
    <row r="65" spans="1:37" x14ac:dyDescent="0.3">
      <c r="A65" s="47"/>
      <c r="B65" s="127"/>
      <c r="C65" s="127"/>
      <c r="D65" s="127"/>
      <c r="E65" s="127"/>
      <c r="F65" s="116"/>
      <c r="G65" s="19"/>
      <c r="H65" s="19"/>
      <c r="I65" s="47"/>
      <c r="J65" s="47"/>
      <c r="K65" s="47"/>
      <c r="L65" s="95" t="s">
        <v>123</v>
      </c>
      <c r="M65" s="147">
        <v>0</v>
      </c>
      <c r="N65" s="147">
        <v>0</v>
      </c>
      <c r="O65" s="147">
        <v>0</v>
      </c>
      <c r="P65" s="66">
        <f t="shared" si="32"/>
        <v>0</v>
      </c>
      <c r="Q65" s="148">
        <f>IFERROR(((M65-N65*POWER(O65,AD33)-(P65))*X65),0)</f>
        <v>0</v>
      </c>
      <c r="R65" s="78">
        <f t="shared" si="33"/>
        <v>0</v>
      </c>
      <c r="S65" s="188">
        <f>R65*N33*M33</f>
        <v>0</v>
      </c>
      <c r="T65" s="67"/>
      <c r="U65" s="67"/>
      <c r="V65" s="60"/>
      <c r="W65" s="79"/>
      <c r="X65" s="130">
        <f>IF(AC33&lt;$X$52,0,1)</f>
        <v>1</v>
      </c>
      <c r="Y65" s="136"/>
      <c r="Z65" s="107"/>
      <c r="AJ65" s="47"/>
      <c r="AK65" s="47"/>
    </row>
    <row r="66" spans="1:37" x14ac:dyDescent="0.3">
      <c r="A66" s="47"/>
      <c r="B66" s="127"/>
      <c r="C66" s="127"/>
      <c r="D66" s="127"/>
      <c r="E66" s="127"/>
      <c r="F66" s="116"/>
      <c r="G66" s="127"/>
      <c r="H66" s="127"/>
      <c r="I66" s="47"/>
      <c r="J66" s="47"/>
      <c r="K66" s="47"/>
      <c r="L66" s="49" t="s">
        <v>124</v>
      </c>
      <c r="M66" s="164">
        <v>3.6539999999999999</v>
      </c>
      <c r="N66" s="122">
        <v>1.6739999999999999</v>
      </c>
      <c r="O66" s="122">
        <v>0.98499999999999999</v>
      </c>
      <c r="P66" s="52">
        <f t="shared" si="32"/>
        <v>1.98</v>
      </c>
      <c r="Q66" s="72">
        <f>IFERROR((M66-N66*POWER(O66,AB34)-(P66)),0)</f>
        <v>1.0963807839084043</v>
      </c>
      <c r="R66" s="72">
        <f t="shared" si="33"/>
        <v>1096.3807839084043</v>
      </c>
      <c r="S66" s="185">
        <f>R66*N34*M34</f>
        <v>328.91423517252127</v>
      </c>
      <c r="T66" s="117">
        <f>S66+S67+S68</f>
        <v>525.55289114917389</v>
      </c>
      <c r="U66" s="117">
        <f>T48</f>
        <v>226.33387519770011</v>
      </c>
      <c r="V66" s="117">
        <f>T66-U66</f>
        <v>299.21901595147381</v>
      </c>
      <c r="W66" s="158"/>
      <c r="X66" s="149"/>
      <c r="Y66" s="118">
        <f>R66+R67+R68</f>
        <v>1751.8429704972464</v>
      </c>
      <c r="Z66" s="119">
        <f>IF(OR(M34=0,M34=1),$V$66,IF(M34&lt;1,$V$66/M34,IF(M34&gt;1,$V$66/M34,0)))</f>
        <v>299.21901595147381</v>
      </c>
      <c r="AJ66" s="47"/>
      <c r="AK66" s="47"/>
    </row>
    <row r="67" spans="1:37" x14ac:dyDescent="0.3">
      <c r="A67" s="47"/>
      <c r="B67" s="127"/>
      <c r="C67" s="127"/>
      <c r="D67" s="127"/>
      <c r="E67" s="127"/>
      <c r="F67" s="116"/>
      <c r="G67" s="127"/>
      <c r="H67" s="127"/>
      <c r="I67" s="47"/>
      <c r="J67" s="47"/>
      <c r="K67" s="47"/>
      <c r="L67" s="131" t="s">
        <v>125</v>
      </c>
      <c r="M67" s="61">
        <v>3.8919999999999999</v>
      </c>
      <c r="N67" s="147">
        <v>0.71099999999999997</v>
      </c>
      <c r="O67" s="147">
        <v>0.7</v>
      </c>
      <c r="P67" s="147">
        <f t="shared" si="32"/>
        <v>3.181</v>
      </c>
      <c r="Q67" s="77">
        <f>IFERROR(((M67-N67*POWER(O67,AC34)-(P67))*W67),0)</f>
        <v>0.65546218658884214</v>
      </c>
      <c r="R67" s="77">
        <f t="shared" si="33"/>
        <v>655.46218658884209</v>
      </c>
      <c r="S67" s="184">
        <f>R67*N34*M34</f>
        <v>196.63865597665261</v>
      </c>
      <c r="T67" s="67"/>
      <c r="U67" s="67"/>
      <c r="V67" s="67"/>
      <c r="W67" s="93">
        <f>IF(AB34&lt;$W$52,0,1)</f>
        <v>1</v>
      </c>
      <c r="X67" s="136"/>
      <c r="Y67" s="133"/>
      <c r="Z67" s="107"/>
      <c r="AJ67" s="47"/>
      <c r="AK67" s="47"/>
    </row>
    <row r="68" spans="1:37" x14ac:dyDescent="0.3">
      <c r="A68" s="47"/>
      <c r="B68" s="127"/>
      <c r="C68" s="127"/>
      <c r="D68" s="127"/>
      <c r="E68" s="127"/>
      <c r="F68" s="116"/>
      <c r="G68" s="127"/>
      <c r="H68" s="127"/>
      <c r="I68" s="47"/>
      <c r="J68" s="47"/>
      <c r="K68" s="47"/>
      <c r="L68" s="131" t="s">
        <v>126</v>
      </c>
      <c r="M68" s="61">
        <v>0</v>
      </c>
      <c r="N68" s="147">
        <v>0</v>
      </c>
      <c r="O68" s="147">
        <v>0</v>
      </c>
      <c r="P68" s="147">
        <f t="shared" si="32"/>
        <v>0</v>
      </c>
      <c r="Q68" s="148">
        <f>IFERROR(((M68-N68*POWER(O68,AD34)-(P68))*X68),0)</f>
        <v>0</v>
      </c>
      <c r="R68" s="77">
        <f t="shared" si="33"/>
        <v>0</v>
      </c>
      <c r="S68" s="184">
        <f>R68*N34*M34</f>
        <v>0</v>
      </c>
      <c r="T68" s="67"/>
      <c r="U68" s="67"/>
      <c r="V68" s="67"/>
      <c r="W68" s="93"/>
      <c r="X68" s="106">
        <f>IF(AC34&lt;$X$52,0,1)</f>
        <v>0</v>
      </c>
      <c r="Y68" s="133"/>
      <c r="Z68" s="107"/>
      <c r="AJ68" s="47"/>
      <c r="AK68" s="47"/>
    </row>
    <row r="69" spans="1:37" ht="46.5" customHeight="1" x14ac:dyDescent="0.35">
      <c r="A69" s="47"/>
      <c r="B69" s="209" t="s">
        <v>110</v>
      </c>
      <c r="C69" s="209"/>
      <c r="D69" s="209"/>
      <c r="E69" s="209"/>
      <c r="F69" s="209"/>
      <c r="G69" s="209"/>
      <c r="H69" s="209"/>
      <c r="I69" s="209"/>
      <c r="J69" s="30"/>
      <c r="K69" s="30"/>
      <c r="L69" s="129" t="s">
        <v>114</v>
      </c>
      <c r="M69" s="164">
        <v>1.9119999999999999</v>
      </c>
      <c r="N69" s="122">
        <v>1.0129999999999999</v>
      </c>
      <c r="O69" s="122">
        <v>0.96199999999999997</v>
      </c>
      <c r="P69" s="122">
        <f t="shared" si="32"/>
        <v>0.89900000000000002</v>
      </c>
      <c r="Q69" s="123">
        <f>IFERROR((M69-N69*POWER(O69,AB35)-(P69)),0)</f>
        <v>0.91670774269621358</v>
      </c>
      <c r="R69" s="153">
        <f t="shared" si="33"/>
        <v>916.70774269621359</v>
      </c>
      <c r="S69" s="189">
        <f>R69*N35*M35</f>
        <v>641.69541988734943</v>
      </c>
      <c r="T69" s="124">
        <f>S69+S70+S71</f>
        <v>646.02074679686802</v>
      </c>
      <c r="U69" s="124">
        <f>T49</f>
        <v>162.51162017279051</v>
      </c>
      <c r="V69" s="152">
        <f>T69-U69</f>
        <v>483.50912662407751</v>
      </c>
      <c r="W69" s="171"/>
      <c r="X69" s="126"/>
      <c r="Y69" s="168">
        <f>R69+R70+R71</f>
        <v>922.88678113838307</v>
      </c>
      <c r="Z69" s="169">
        <f>IF(OR(M35=0,M35=1),$V$69,IF(M35&lt;1,$V$69/M35,IF(M35&gt;1,$V$69/M35,0)))</f>
        <v>483.50912662407751</v>
      </c>
      <c r="AJ69" s="30"/>
      <c r="AK69" s="30"/>
    </row>
    <row r="70" spans="1:37" ht="12" customHeight="1" x14ac:dyDescent="0.35">
      <c r="A70" s="47"/>
      <c r="B70" s="197" t="s">
        <v>111</v>
      </c>
      <c r="C70" s="127"/>
      <c r="D70" s="127"/>
      <c r="E70" s="127"/>
      <c r="F70" s="116"/>
      <c r="G70" s="127"/>
      <c r="H70" s="127"/>
      <c r="I70" s="47"/>
      <c r="J70" s="47"/>
      <c r="K70" s="47"/>
      <c r="L70" s="131" t="s">
        <v>115</v>
      </c>
      <c r="M70" s="61">
        <v>0.91549999999999998</v>
      </c>
      <c r="N70" s="147">
        <v>4.3999999999999997E-2</v>
      </c>
      <c r="O70" s="147">
        <v>0.8</v>
      </c>
      <c r="P70" s="147">
        <f t="shared" si="32"/>
        <v>0.87149999999999994</v>
      </c>
      <c r="Q70" s="148">
        <f>IFERROR(((M70-N70*POWER(O70,AC35)-(P70))*W70),0)</f>
        <v>6.1790384421694933E-3</v>
      </c>
      <c r="R70" s="172">
        <f t="shared" si="33"/>
        <v>6.1790384421694933</v>
      </c>
      <c r="S70" s="186">
        <f>R70*N35*M35</f>
        <v>4.3253269095186448</v>
      </c>
      <c r="T70" s="150"/>
      <c r="U70" s="150"/>
      <c r="V70" s="174"/>
      <c r="W70" s="159">
        <f>IF(AB35&lt;$W$52,0,1)</f>
        <v>1</v>
      </c>
      <c r="X70" s="151"/>
      <c r="Y70" s="167"/>
      <c r="Z70" s="156"/>
      <c r="AJ70" s="47"/>
      <c r="AK70" s="47"/>
    </row>
    <row r="71" spans="1:37" ht="30" customHeight="1" x14ac:dyDescent="0.35">
      <c r="A71" s="47"/>
      <c r="B71" s="116"/>
      <c r="C71" s="116"/>
      <c r="D71" s="116"/>
      <c r="E71" s="116"/>
      <c r="F71" s="116"/>
      <c r="G71" s="116"/>
      <c r="H71" s="116"/>
      <c r="I71" s="116"/>
      <c r="J71" s="30"/>
      <c r="K71" s="30"/>
      <c r="L71" s="62" t="s">
        <v>116</v>
      </c>
      <c r="M71" s="165">
        <v>0</v>
      </c>
      <c r="N71" s="163">
        <v>0</v>
      </c>
      <c r="O71" s="163">
        <v>0</v>
      </c>
      <c r="P71" s="147">
        <f t="shared" si="32"/>
        <v>0</v>
      </c>
      <c r="Q71" s="170">
        <f>IFERROR(((M71-N71*POWER(O71,AD35)-(P71))*X71),0)</f>
        <v>0</v>
      </c>
      <c r="R71" s="173">
        <f t="shared" ref="R71:R76" si="34">Q71*1000</f>
        <v>0</v>
      </c>
      <c r="S71" s="190">
        <f>R71*N35*M35</f>
        <v>0</v>
      </c>
      <c r="T71" s="175"/>
      <c r="U71" s="175"/>
      <c r="V71" s="176"/>
      <c r="W71" s="177"/>
      <c r="X71" s="160">
        <f>IF(AC35&lt;$X$52,0,1)</f>
        <v>0</v>
      </c>
      <c r="Y71" s="178"/>
      <c r="Z71" s="160"/>
      <c r="AJ71" s="30"/>
      <c r="AK71" s="30"/>
    </row>
    <row r="72" spans="1:37" x14ac:dyDescent="0.3">
      <c r="A72" s="47"/>
      <c r="B72" s="127"/>
      <c r="C72" s="127"/>
      <c r="D72" s="127"/>
      <c r="E72" s="127"/>
      <c r="F72" s="47"/>
      <c r="G72" s="47"/>
      <c r="H72" s="47"/>
      <c r="I72" s="47"/>
      <c r="J72" s="47"/>
      <c r="K72" s="47"/>
      <c r="L72" s="129" t="s">
        <v>127</v>
      </c>
      <c r="M72" s="164">
        <v>0</v>
      </c>
      <c r="N72" s="122">
        <v>0</v>
      </c>
      <c r="O72" s="122">
        <v>0</v>
      </c>
      <c r="P72" s="122">
        <f>M72-N72</f>
        <v>0</v>
      </c>
      <c r="Q72" s="123">
        <f>IFERROR((M72-N72*POWER(O72,AB36)-(P72)),0)</f>
        <v>0</v>
      </c>
      <c r="R72" s="123">
        <f>Q72*1000</f>
        <v>0</v>
      </c>
      <c r="S72" s="189">
        <f>R72*N36*M36</f>
        <v>0</v>
      </c>
      <c r="T72" s="124">
        <f>S72+S73+S74</f>
        <v>0</v>
      </c>
      <c r="U72" s="124">
        <f>T50</f>
        <v>0</v>
      </c>
      <c r="V72" s="124">
        <f>T72-U72</f>
        <v>0</v>
      </c>
      <c r="W72" s="125"/>
      <c r="X72" s="126"/>
      <c r="Y72" s="118">
        <f>R72+R73+R74</f>
        <v>0</v>
      </c>
      <c r="Z72" s="119">
        <f>IF(OR(M36=0,M36=1),$V$72,IF(M36&lt;1,$V$72/M36,IF(M36&gt;1,$V$72/M36,0)))</f>
        <v>0</v>
      </c>
      <c r="AJ72" s="47"/>
      <c r="AK72" s="47"/>
    </row>
    <row r="73" spans="1:37" ht="47.25" customHeight="1" x14ac:dyDescent="0.35">
      <c r="A73" s="47"/>
      <c r="B73" s="209" t="s">
        <v>112</v>
      </c>
      <c r="C73" s="209"/>
      <c r="D73" s="209"/>
      <c r="E73" s="209"/>
      <c r="F73" s="209"/>
      <c r="G73" s="209"/>
      <c r="H73" s="209"/>
      <c r="I73" s="209"/>
      <c r="J73" s="30"/>
      <c r="K73" s="30"/>
      <c r="L73" s="155" t="s">
        <v>127</v>
      </c>
      <c r="M73" s="61">
        <v>0</v>
      </c>
      <c r="N73" s="147">
        <v>0</v>
      </c>
      <c r="O73" s="147">
        <v>0</v>
      </c>
      <c r="P73" s="147">
        <f t="shared" ref="P73" si="35">M73-N73</f>
        <v>0</v>
      </c>
      <c r="Q73" s="148">
        <f>IFERROR(((M73-N73*POWER(O73,AC36)-(P73))*W73),0)</f>
        <v>0</v>
      </c>
      <c r="R73" s="172">
        <f t="shared" si="34"/>
        <v>0</v>
      </c>
      <c r="S73" s="186">
        <f>R73*N36*M36</f>
        <v>0</v>
      </c>
      <c r="T73" s="150"/>
      <c r="U73" s="150"/>
      <c r="V73" s="174"/>
      <c r="W73" s="159">
        <v>1</v>
      </c>
      <c r="X73" s="151"/>
      <c r="Y73" s="167"/>
      <c r="Z73" s="156"/>
      <c r="AJ73" s="30"/>
      <c r="AK73" s="30"/>
    </row>
    <row r="74" spans="1:37" ht="21.75" customHeight="1" x14ac:dyDescent="0.3">
      <c r="A74" s="47"/>
      <c r="B74" s="127"/>
      <c r="C74" s="127"/>
      <c r="D74" s="127"/>
      <c r="E74" s="127"/>
      <c r="F74" s="116"/>
      <c r="G74" s="47"/>
      <c r="H74" s="47"/>
      <c r="I74" s="47"/>
      <c r="J74" s="47"/>
      <c r="K74" s="47"/>
      <c r="L74" s="62" t="s">
        <v>127</v>
      </c>
      <c r="M74" s="165">
        <v>0</v>
      </c>
      <c r="N74" s="163">
        <v>0</v>
      </c>
      <c r="O74" s="163">
        <v>0</v>
      </c>
      <c r="P74" s="120">
        <f>M74-N74</f>
        <v>0</v>
      </c>
      <c r="Q74" s="84">
        <f>IFERROR(((M74-N74*POWER(O74,AD36)-(P74))*X74),0)</f>
        <v>0</v>
      </c>
      <c r="R74" s="84">
        <f t="shared" si="34"/>
        <v>0</v>
      </c>
      <c r="S74" s="191">
        <f>R74*N36*M36</f>
        <v>0</v>
      </c>
      <c r="T74" s="120"/>
      <c r="U74" s="120"/>
      <c r="V74" s="120"/>
      <c r="W74" s="64"/>
      <c r="X74" s="160">
        <f>IF(AC36&lt;$X$52,0,1)</f>
        <v>0</v>
      </c>
      <c r="Y74" s="121"/>
      <c r="Z74" s="128"/>
      <c r="AJ74" s="47"/>
      <c r="AK74" s="47"/>
    </row>
    <row r="75" spans="1:37" ht="15.5" x14ac:dyDescent="0.3">
      <c r="A75" s="47"/>
      <c r="B75" s="209" t="s">
        <v>131</v>
      </c>
      <c r="C75" s="209"/>
      <c r="D75" s="209"/>
      <c r="E75" s="209"/>
      <c r="F75" s="209"/>
      <c r="G75" s="209"/>
      <c r="H75" s="209"/>
      <c r="I75" s="209"/>
      <c r="J75" s="47"/>
      <c r="K75" s="47"/>
      <c r="L75" s="131" t="s">
        <v>127</v>
      </c>
      <c r="M75" s="61">
        <v>0</v>
      </c>
      <c r="N75" s="147">
        <v>0</v>
      </c>
      <c r="O75" s="147">
        <v>0</v>
      </c>
      <c r="P75" s="66">
        <f>M75-N75</f>
        <v>0</v>
      </c>
      <c r="Q75" s="77">
        <f>IFERROR((M75-N75*POWER(O75,AB37)-(P75)),0)</f>
        <v>0</v>
      </c>
      <c r="R75" s="77">
        <f t="shared" si="34"/>
        <v>0</v>
      </c>
      <c r="S75" s="184">
        <f>R75*N37*M37</f>
        <v>0</v>
      </c>
      <c r="T75" s="67">
        <f>S75+S76+S77</f>
        <v>0</v>
      </c>
      <c r="U75" s="67">
        <f>T51</f>
        <v>0</v>
      </c>
      <c r="V75" s="67">
        <f>T75-U75</f>
        <v>0</v>
      </c>
      <c r="W75" s="133"/>
      <c r="X75" s="134"/>
      <c r="Y75" s="118">
        <f>R75+R76+R77</f>
        <v>0</v>
      </c>
      <c r="Z75" s="119">
        <f>IF(OR(M37=0,M37=1),$V$75,IF(M37&lt;1,$V$75/M37,IF(M37&gt;1,$V$75/M37,0)))</f>
        <v>0</v>
      </c>
      <c r="AJ75" s="47"/>
      <c r="AK75" s="47"/>
    </row>
    <row r="76" spans="1:37" x14ac:dyDescent="0.3">
      <c r="A76" s="47"/>
      <c r="B76" s="47"/>
      <c r="C76" s="47"/>
      <c r="D76" s="20"/>
      <c r="E76" s="20"/>
      <c r="F76" s="47"/>
      <c r="G76" s="47"/>
      <c r="H76" s="47"/>
      <c r="I76" s="47"/>
      <c r="J76" s="47"/>
      <c r="K76" s="47"/>
      <c r="L76" s="131" t="s">
        <v>127</v>
      </c>
      <c r="M76" s="61">
        <v>0</v>
      </c>
      <c r="N76" s="147">
        <v>0</v>
      </c>
      <c r="O76" s="147">
        <v>0</v>
      </c>
      <c r="P76" s="147">
        <f t="shared" ref="P76" si="36">M76-N76</f>
        <v>0</v>
      </c>
      <c r="Q76" s="148">
        <f>IFERROR(((M76-N76*POWER(O76,AC37)-(P76))*W76),0)</f>
        <v>0</v>
      </c>
      <c r="R76" s="172">
        <f t="shared" si="34"/>
        <v>0</v>
      </c>
      <c r="S76" s="186">
        <f>R76*N37*M37</f>
        <v>0</v>
      </c>
      <c r="T76" s="150"/>
      <c r="U76" s="150"/>
      <c r="V76" s="174"/>
      <c r="W76" s="159">
        <v>1</v>
      </c>
      <c r="X76" s="151"/>
      <c r="Y76" s="167"/>
      <c r="Z76" s="156"/>
      <c r="AJ76" s="47"/>
      <c r="AK76" s="47"/>
    </row>
    <row r="77" spans="1:37" x14ac:dyDescent="0.3">
      <c r="A77" s="47"/>
      <c r="B77" s="14"/>
      <c r="C77" s="14"/>
      <c r="D77" s="14"/>
      <c r="E77" s="14"/>
      <c r="F77" s="14"/>
      <c r="G77" s="14"/>
      <c r="H77" s="47"/>
      <c r="I77" s="47"/>
      <c r="J77" s="47"/>
      <c r="K77" s="47"/>
      <c r="L77" s="62" t="s">
        <v>127</v>
      </c>
      <c r="M77" s="165">
        <v>0</v>
      </c>
      <c r="N77" s="163">
        <v>0</v>
      </c>
      <c r="O77" s="163">
        <v>0</v>
      </c>
      <c r="P77" s="120">
        <f>M77-N77</f>
        <v>0</v>
      </c>
      <c r="Q77" s="84">
        <f>IFERROR(((M77-N77*POWER(O77,AD37)-(P77))*X77),0)</f>
        <v>0</v>
      </c>
      <c r="R77" s="84">
        <f t="shared" ref="R77" si="37">Q77*1000</f>
        <v>0</v>
      </c>
      <c r="S77" s="191">
        <f>R77*N37*M37</f>
        <v>0</v>
      </c>
      <c r="T77" s="120"/>
      <c r="U77" s="135"/>
      <c r="V77" s="135"/>
      <c r="W77" s="62"/>
      <c r="X77" s="160">
        <f>IF(AC37&lt;$X$52,0,1)</f>
        <v>0</v>
      </c>
      <c r="Y77" s="121"/>
      <c r="Z77" s="130"/>
      <c r="AJ77" s="47"/>
      <c r="AK77" s="47"/>
    </row>
    <row r="78" spans="1:37" x14ac:dyDescent="0.3">
      <c r="A78" s="47"/>
      <c r="B78" s="20"/>
      <c r="C78" s="14"/>
      <c r="D78" s="14"/>
      <c r="E78" s="14"/>
      <c r="F78" s="14"/>
      <c r="G78" s="14"/>
      <c r="H78" s="47"/>
      <c r="I78" s="47"/>
      <c r="J78" s="47"/>
      <c r="K78" s="47"/>
      <c r="AJ78" s="47"/>
      <c r="AK78" s="47"/>
    </row>
    <row r="82" spans="9:24" ht="15.5" x14ac:dyDescent="0.3">
      <c r="M82" s="132"/>
      <c r="N82" s="132"/>
      <c r="O82" s="132"/>
      <c r="P82" s="66"/>
      <c r="Q82" s="66"/>
      <c r="R82" s="77"/>
      <c r="S82" s="67"/>
      <c r="T82" s="67"/>
      <c r="U82" s="67"/>
      <c r="V82" s="67"/>
      <c r="W82" s="136"/>
      <c r="X82" s="136"/>
    </row>
    <row r="83" spans="9:24" ht="15.5" x14ac:dyDescent="0.3">
      <c r="M83" s="132"/>
      <c r="N83" s="132"/>
      <c r="O83" s="132"/>
      <c r="P83" s="66"/>
      <c r="Q83" s="66"/>
      <c r="R83" s="77"/>
      <c r="S83" s="67"/>
      <c r="T83" s="67"/>
      <c r="U83" s="67"/>
      <c r="V83" s="67"/>
      <c r="W83" s="136"/>
      <c r="X83" s="136"/>
    </row>
    <row r="86" spans="9:24" x14ac:dyDescent="0.3">
      <c r="S86" s="137"/>
      <c r="W86" s="138"/>
    </row>
    <row r="87" spans="9:24" x14ac:dyDescent="0.3">
      <c r="S87" s="137"/>
      <c r="T87" s="68" t="s">
        <v>55</v>
      </c>
      <c r="U87" s="69"/>
      <c r="V87" s="70"/>
    </row>
    <row r="88" spans="9:24" x14ac:dyDescent="0.3">
      <c r="I88" s="48" t="s">
        <v>93</v>
      </c>
      <c r="S88" s="66"/>
      <c r="T88" s="54" t="s">
        <v>56</v>
      </c>
      <c r="U88" s="52" t="s">
        <v>57</v>
      </c>
      <c r="V88" s="53" t="s">
        <v>58</v>
      </c>
    </row>
    <row r="89" spans="9:24" x14ac:dyDescent="0.3">
      <c r="T89" s="108">
        <f>SUM(T60:T77)</f>
        <v>2459.7307253250251</v>
      </c>
      <c r="U89" s="109">
        <f>SUM(U60:U77)</f>
        <v>817.03273529217972</v>
      </c>
      <c r="V89" s="110">
        <f>SUM(V60:V77)</f>
        <v>1642.6979900328452</v>
      </c>
    </row>
  </sheetData>
  <sheetProtection password="C75C" sheet="1" objects="1" scenarios="1"/>
  <mergeCells count="27">
    <mergeCell ref="C42:G42"/>
    <mergeCell ref="B41:G41"/>
    <mergeCell ref="B61:D61"/>
    <mergeCell ref="B52:D52"/>
    <mergeCell ref="B69:I69"/>
    <mergeCell ref="C62:D62"/>
    <mergeCell ref="AB30:AD30"/>
    <mergeCell ref="O30:S30"/>
    <mergeCell ref="T30:AA30"/>
    <mergeCell ref="N16:X16"/>
    <mergeCell ref="L30:N30"/>
    <mergeCell ref="B75:I75"/>
    <mergeCell ref="S58:V58"/>
    <mergeCell ref="W58:X58"/>
    <mergeCell ref="Y58:Z58"/>
    <mergeCell ref="C10:D10"/>
    <mergeCell ref="C12:D12"/>
    <mergeCell ref="C11:D11"/>
    <mergeCell ref="B24:F24"/>
    <mergeCell ref="Y16:AA16"/>
    <mergeCell ref="W50:X50"/>
    <mergeCell ref="N44:U44"/>
    <mergeCell ref="L58:R58"/>
    <mergeCell ref="B73:I73"/>
    <mergeCell ref="B14:D14"/>
    <mergeCell ref="B33:C33"/>
    <mergeCell ref="B35:C35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57150</xdr:colOff>
                    <xdr:row>36</xdr:row>
                    <xdr:rowOff>69850</xdr:rowOff>
                  </from>
                  <to>
                    <xdr:col>1</xdr:col>
                    <xdr:colOff>1327150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342900</xdr:colOff>
                    <xdr:row>36</xdr:row>
                    <xdr:rowOff>57150</xdr:rowOff>
                  </from>
                  <to>
                    <xdr:col>3</xdr:col>
                    <xdr:colOff>603250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1409700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57150</xdr:colOff>
                    <xdr:row>64</xdr:row>
                    <xdr:rowOff>76200</xdr:rowOff>
                  </from>
                  <to>
                    <xdr:col>1</xdr:col>
                    <xdr:colOff>1327150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57150</xdr:colOff>
                    <xdr:row>2</xdr:row>
                    <xdr:rowOff>76200</xdr:rowOff>
                  </from>
                  <to>
                    <xdr:col>11</xdr:col>
                    <xdr:colOff>1327150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7CB977-B85A-4CB6-84E7-FC7AA3165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E8147B-76F2-4340-A8FB-15CA8BCB4E8D}">
  <ds:schemaRefs>
    <ds:schemaRef ds:uri="http://purl.org/dc/elements/1.1/"/>
    <ds:schemaRef ds:uri="http://schemas.openxmlformats.org/package/2006/metadata/core-properties"/>
    <ds:schemaRef ds:uri="cfcaa660-3182-4f27-8fa7-16736e9283fd"/>
    <ds:schemaRef ds:uri="http://schemas.microsoft.com/office/2006/documentManagement/types"/>
    <ds:schemaRef ds:uri="http://purl.org/dc/terms/"/>
    <ds:schemaRef ds:uri="6a2a5ef5-46a6-42c7-b9b9-d957781a302b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26F16-55AA-4BAC-A42B-701542C234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