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Ghana FOTs 31 Mar 16/New folder/"/>
    </mc:Choice>
  </mc:AlternateContent>
  <xr:revisionPtr revIDLastSave="0" documentId="8_{9FCD4495-C489-453C-9586-3B9834BDE988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C1CBA8F3-2833-4E3B-9291-7E10E5725809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S17" i="2"/>
  <c r="X17" i="2"/>
  <c r="AB17" i="2"/>
  <c r="T22" i="2"/>
  <c r="P85" i="2"/>
  <c r="W24" i="2"/>
  <c r="V24" i="2"/>
  <c r="U24" i="2"/>
  <c r="T24" i="2"/>
  <c r="W23" i="2"/>
  <c r="V23" i="2"/>
  <c r="U23" i="2"/>
  <c r="T23" i="2"/>
  <c r="W22" i="2"/>
  <c r="U22" i="2"/>
  <c r="W21" i="2"/>
  <c r="U21" i="2"/>
  <c r="T21" i="2"/>
  <c r="W20" i="2"/>
  <c r="V20" i="2"/>
  <c r="U20" i="2"/>
  <c r="T20" i="2"/>
  <c r="W19" i="2"/>
  <c r="U19" i="2"/>
  <c r="T19" i="2"/>
  <c r="W18" i="2"/>
  <c r="V18" i="2"/>
  <c r="N19" i="2"/>
  <c r="N20" i="2"/>
  <c r="N21" i="2"/>
  <c r="N22" i="2"/>
  <c r="N23" i="2"/>
  <c r="N24" i="2"/>
  <c r="C23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8" i="2"/>
  <c r="G43" i="2"/>
  <c r="U13" i="2"/>
  <c r="S50" i="2"/>
  <c r="S47" i="2"/>
  <c r="S46" i="2"/>
  <c r="S49" i="2"/>
  <c r="S52" i="2"/>
  <c r="S51" i="2"/>
  <c r="S53" i="2" s="1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R52" i="2" s="1"/>
  <c r="R46" i="2"/>
  <c r="U11" i="2"/>
  <c r="Q50" i="2"/>
  <c r="U10" i="2"/>
  <c r="P49" i="2" s="1"/>
  <c r="U9" i="2"/>
  <c r="O51" i="2"/>
  <c r="T10" i="2"/>
  <c r="T11" i="2"/>
  <c r="T12" i="2"/>
  <c r="T13" i="2"/>
  <c r="AB32" i="2" s="1"/>
  <c r="AF32" i="2" s="1"/>
  <c r="Q63" i="2" s="1"/>
  <c r="R63" i="2" s="1"/>
  <c r="S63" i="2" s="1"/>
  <c r="AB38" i="2"/>
  <c r="AF38" i="2"/>
  <c r="Q87" i="2" s="1"/>
  <c r="R87" i="2" s="1"/>
  <c r="S87" i="2" s="1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50" i="2"/>
  <c r="P47" i="2"/>
  <c r="P48" i="2"/>
  <c r="P52" i="2"/>
  <c r="Q48" i="2"/>
  <c r="O48" i="2"/>
  <c r="O52" i="2"/>
  <c r="O50" i="2"/>
  <c r="N38" i="2"/>
  <c r="M38" i="2"/>
  <c r="V38" i="2" s="1"/>
  <c r="C50" i="2"/>
  <c r="D50" i="2"/>
  <c r="E50" i="2"/>
  <c r="P60" i="2"/>
  <c r="Q11" i="2"/>
  <c r="R10" i="2"/>
  <c r="R11" i="2"/>
  <c r="S12" i="2"/>
  <c r="X36" i="2" s="1"/>
  <c r="AE36" i="2" s="1"/>
  <c r="Q78" i="2" s="1"/>
  <c r="R78" i="2" s="1"/>
  <c r="S78" i="2" s="1"/>
  <c r="V21" i="2"/>
  <c r="V19" i="2"/>
  <c r="P62" i="2"/>
  <c r="S11" i="2"/>
  <c r="S10" i="2"/>
  <c r="S9" i="2"/>
  <c r="R9" i="2"/>
  <c r="R12" i="2"/>
  <c r="Z38" i="2"/>
  <c r="Q9" i="2"/>
  <c r="Q10" i="2"/>
  <c r="Q12" i="2"/>
  <c r="Q13" i="2"/>
  <c r="Y38" i="2"/>
  <c r="P61" i="2"/>
  <c r="C44" i="2"/>
  <c r="E44" i="2"/>
  <c r="D44" i="2"/>
  <c r="C49" i="2"/>
  <c r="C12" i="2"/>
  <c r="M36" i="2"/>
  <c r="V36" i="2"/>
  <c r="M35" i="2"/>
  <c r="U35" i="2" s="1"/>
  <c r="M34" i="2"/>
  <c r="W34" i="2" s="1"/>
  <c r="AB34" i="2"/>
  <c r="AF34" i="2"/>
  <c r="Q71" i="2" s="1"/>
  <c r="R71" i="2" s="1"/>
  <c r="S71" i="2" s="1"/>
  <c r="M33" i="2"/>
  <c r="U33" i="2" s="1"/>
  <c r="M32" i="2"/>
  <c r="O40" i="2" s="1"/>
  <c r="C51" i="2" s="1"/>
  <c r="T36" i="2"/>
  <c r="AC36" i="2"/>
  <c r="Q76" i="2" s="1"/>
  <c r="R76" i="2" s="1"/>
  <c r="V35" i="2"/>
  <c r="V32" i="2"/>
  <c r="W36" i="2"/>
  <c r="U36" i="2"/>
  <c r="AD36" i="2"/>
  <c r="Q77" i="2" s="1"/>
  <c r="R77" i="2" s="1"/>
  <c r="S77" i="2" s="1"/>
  <c r="AA36" i="2"/>
  <c r="Z36" i="2"/>
  <c r="Y36" i="2"/>
  <c r="Y35" i="2"/>
  <c r="U34" i="2"/>
  <c r="AA33" i="2"/>
  <c r="Y33" i="2"/>
  <c r="W33" i="2"/>
  <c r="AA32" i="2"/>
  <c r="U32" i="2"/>
  <c r="S45" i="2"/>
  <c r="AA31" i="2"/>
  <c r="Y31" i="2"/>
  <c r="Z31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M37" i="2"/>
  <c r="P40" i="2"/>
  <c r="D51" i="2" s="1"/>
  <c r="P63" i="2"/>
  <c r="V34" i="2"/>
  <c r="O49" i="2"/>
  <c r="O47" i="2"/>
  <c r="O46" i="2"/>
  <c r="O53" i="2" s="1"/>
  <c r="R51" i="2"/>
  <c r="AB37" i="2"/>
  <c r="AF37" i="2"/>
  <c r="Q83" i="2"/>
  <c r="R83" i="2" s="1"/>
  <c r="S83" i="2" s="1"/>
  <c r="X37" i="2"/>
  <c r="Q47" i="2"/>
  <c r="Q46" i="2"/>
  <c r="T35" i="2"/>
  <c r="AC35" i="2"/>
  <c r="Q72" i="2" s="1"/>
  <c r="R72" i="2" s="1"/>
  <c r="AA38" i="2"/>
  <c r="Q52" i="2"/>
  <c r="Q49" i="2"/>
  <c r="S48" i="2"/>
  <c r="X32" i="2"/>
  <c r="AE32" i="2" s="1"/>
  <c r="Q62" i="2" s="1"/>
  <c r="R62" i="2" s="1"/>
  <c r="S62" i="2" s="1"/>
  <c r="Z32" i="2"/>
  <c r="Q51" i="2"/>
  <c r="Q53" i="2"/>
  <c r="S76" i="2" l="1"/>
  <c r="T76" i="2" s="1"/>
  <c r="W76" i="2"/>
  <c r="C58" i="2" s="1"/>
  <c r="S72" i="2"/>
  <c r="AD35" i="2"/>
  <c r="Q73" i="2" s="1"/>
  <c r="R73" i="2" s="1"/>
  <c r="S73" i="2" s="1"/>
  <c r="R47" i="2"/>
  <c r="T47" i="2" s="1"/>
  <c r="U64" i="2" s="1"/>
  <c r="Z37" i="2"/>
  <c r="R49" i="2"/>
  <c r="U37" i="2"/>
  <c r="AD37" i="2" s="1"/>
  <c r="Q81" i="2" s="1"/>
  <c r="R81" i="2" s="1"/>
  <c r="S81" i="2" s="1"/>
  <c r="Y32" i="2"/>
  <c r="Z34" i="2"/>
  <c r="AD34" i="2" s="1"/>
  <c r="Q69" i="2" s="1"/>
  <c r="R69" i="2" s="1"/>
  <c r="S69" i="2" s="1"/>
  <c r="V33" i="2"/>
  <c r="AA35" i="2"/>
  <c r="X33" i="2"/>
  <c r="AE33" i="2" s="1"/>
  <c r="Q66" i="2" s="1"/>
  <c r="R66" i="2" s="1"/>
  <c r="S66" i="2" s="1"/>
  <c r="X38" i="2"/>
  <c r="AE38" i="2" s="1"/>
  <c r="Q86" i="2" s="1"/>
  <c r="R86" i="2" s="1"/>
  <c r="S86" i="2" s="1"/>
  <c r="R48" i="2"/>
  <c r="R50" i="2"/>
  <c r="T50" i="2" s="1"/>
  <c r="U76" i="2" s="1"/>
  <c r="T52" i="2"/>
  <c r="X35" i="2"/>
  <c r="AA34" i="2"/>
  <c r="X34" i="2"/>
  <c r="AE34" i="2" s="1"/>
  <c r="Q70" i="2" s="1"/>
  <c r="R70" i="2" s="1"/>
  <c r="S70" i="2" s="1"/>
  <c r="Z33" i="2"/>
  <c r="AD33" i="2" s="1"/>
  <c r="Q65" i="2" s="1"/>
  <c r="R65" i="2" s="1"/>
  <c r="S65" i="2" s="1"/>
  <c r="AB35" i="2"/>
  <c r="AF35" i="2" s="1"/>
  <c r="Q75" i="2" s="1"/>
  <c r="R75" i="2" s="1"/>
  <c r="S75" i="2" s="1"/>
  <c r="W38" i="2"/>
  <c r="T34" i="2"/>
  <c r="T38" i="2"/>
  <c r="AC38" i="2" s="1"/>
  <c r="Q84" i="2" s="1"/>
  <c r="R84" i="2" s="1"/>
  <c r="W32" i="2"/>
  <c r="AD32" i="2" s="1"/>
  <c r="Q61" i="2" s="1"/>
  <c r="R61" i="2" s="1"/>
  <c r="S61" i="2" s="1"/>
  <c r="T48" i="2"/>
  <c r="U68" i="2" s="1"/>
  <c r="S40" i="2"/>
  <c r="G51" i="2" s="1"/>
  <c r="W35" i="2"/>
  <c r="T32" i="2"/>
  <c r="T49" i="2"/>
  <c r="U72" i="2" s="1"/>
  <c r="Z35" i="2"/>
  <c r="Q40" i="2"/>
  <c r="E51" i="2" s="1"/>
  <c r="T37" i="2"/>
  <c r="AA37" i="2"/>
  <c r="AE37" i="2" s="1"/>
  <c r="Q82" i="2" s="1"/>
  <c r="R82" i="2" s="1"/>
  <c r="S82" i="2" s="1"/>
  <c r="Y34" i="2"/>
  <c r="U38" i="2"/>
  <c r="AD38" i="2" s="1"/>
  <c r="Q85" i="2" s="1"/>
  <c r="R85" i="2" s="1"/>
  <c r="S85" i="2" s="1"/>
  <c r="P51" i="2"/>
  <c r="T51" i="2"/>
  <c r="U80" i="2" s="1"/>
  <c r="W37" i="2"/>
  <c r="V37" i="2"/>
  <c r="AB36" i="2"/>
  <c r="AF36" i="2" s="1"/>
  <c r="Q79" i="2" s="1"/>
  <c r="R79" i="2" s="1"/>
  <c r="S79" i="2" s="1"/>
  <c r="T33" i="2"/>
  <c r="R40" i="2"/>
  <c r="F51" i="2" s="1"/>
  <c r="P46" i="2"/>
  <c r="Y37" i="2"/>
  <c r="AB33" i="2"/>
  <c r="AF33" i="2" s="1"/>
  <c r="Q67" i="2" s="1"/>
  <c r="R67" i="2" s="1"/>
  <c r="S67" i="2" s="1"/>
  <c r="W84" i="2" l="1"/>
  <c r="C60" i="2" s="1"/>
  <c r="S84" i="2"/>
  <c r="T84" i="2" s="1"/>
  <c r="AC34" i="2"/>
  <c r="Q68" i="2" s="1"/>
  <c r="R68" i="2" s="1"/>
  <c r="P53" i="2"/>
  <c r="T46" i="2"/>
  <c r="U60" i="2" s="1"/>
  <c r="U98" i="2" s="1"/>
  <c r="V76" i="2"/>
  <c r="X76" i="2" s="1"/>
  <c r="D58" i="2" s="1"/>
  <c r="AC32" i="2"/>
  <c r="Q60" i="2" s="1"/>
  <c r="R60" i="2" s="1"/>
  <c r="R53" i="2"/>
  <c r="W72" i="2"/>
  <c r="C57" i="2" s="1"/>
  <c r="T72" i="2"/>
  <c r="V72" i="2" s="1"/>
  <c r="X72" i="2" s="1"/>
  <c r="D57" i="2" s="1"/>
  <c r="AC37" i="2"/>
  <c r="Q80" i="2" s="1"/>
  <c r="R80" i="2" s="1"/>
  <c r="AC33" i="2"/>
  <c r="Q64" i="2" s="1"/>
  <c r="R64" i="2" s="1"/>
  <c r="AE35" i="2"/>
  <c r="Q74" i="2" s="1"/>
  <c r="R74" i="2" s="1"/>
  <c r="S74" i="2" s="1"/>
  <c r="U84" i="2"/>
  <c r="W64" i="2" l="1"/>
  <c r="C55" i="2" s="1"/>
  <c r="S64" i="2"/>
  <c r="T64" i="2" s="1"/>
  <c r="V64" i="2" s="1"/>
  <c r="X64" i="2" s="1"/>
  <c r="D55" i="2" s="1"/>
  <c r="W80" i="2"/>
  <c r="C59" i="2" s="1"/>
  <c r="S80" i="2"/>
  <c r="T80" i="2" s="1"/>
  <c r="V80" i="2" s="1"/>
  <c r="X80" i="2" s="1"/>
  <c r="D59" i="2" s="1"/>
  <c r="W60" i="2"/>
  <c r="C54" i="2" s="1"/>
  <c r="S60" i="2"/>
  <c r="T60" i="2" s="1"/>
  <c r="S68" i="2"/>
  <c r="T68" i="2" s="1"/>
  <c r="V68" i="2" s="1"/>
  <c r="X68" i="2" s="1"/>
  <c r="D56" i="2" s="1"/>
  <c r="W68" i="2"/>
  <c r="C56" i="2" s="1"/>
  <c r="T53" i="2"/>
  <c r="V84" i="2"/>
  <c r="X84" i="2" s="1"/>
  <c r="D60" i="2" s="1"/>
  <c r="T98" i="2" l="1"/>
  <c r="V60" i="2"/>
  <c r="V98" i="2" l="1"/>
  <c r="C62" i="2" s="1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948624E3-FCD1-4478-9EA5-02233A46C4F5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3588AC75-8AD1-4D83-A3C6-A2BC5BB64A8E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EBF8B6A7-11CA-4293-94B5-183DFD2EDB0D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<sst xmlns="http://schemas.openxmlformats.org/spreadsheetml/2006/main" count="166" uniqueCount="147">
  <si>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</si>
  <si>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</si>
  <si>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</si>
  <si>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</si>
  <si>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</si>
  <si>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</si>
  <si>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</si>
  <si>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</si>
  <si>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</si>
  <si>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</si>
  <si>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</si>
  <si>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</si>
  <si>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</si>
  <si>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</si>
  <si>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</si>
  <si>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</si>
  <si>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</si>
  <si>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</si>
  <si>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</si>
  <si>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</si>
  <si>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</si>
  <si>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</si>
  <si>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</si>
  <si>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</si>
  <si>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</si>
  <si>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</si>
  <si>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</si>
  <si>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</si>
  <si>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</si>
  <si>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</si>
  <si>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</si>
  <si>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</si>
  <si>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</si>
  <si>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</si>
  <si>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</si>
  <si>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</si>
  <si>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</si>
  <si>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</si>
  <si>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</si>
  <si>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</si>
  <si>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</si>
  <si>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</si>
  <si>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</si>
  <si>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</si>
  <si>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</si>
  <si>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</si>
  <si>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</si>
  <si>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</si>
  <si>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</si>
  <si>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</si>
  <si>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</si>
  <si>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</si>
  <si>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</si>
  <si>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</si>
  <si>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</si>
  <si>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</si>
  <si>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</si>
  <si>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</si>
  <si>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</si>
  <si>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</si>
  <si>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</si>
  <si>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</si>
  <si>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</si>
  <si>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</si>
  <si>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</si>
  <si>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</si>
  <si>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</si>
  <si>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</si>
  <si>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</si>
  <si>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</si>
  <si>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</si>
  <si>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</si>
  <si>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</si>
  <si>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</si>
  <si>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</si>
  <si>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</si>
  <si>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</si>
  <si>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</si>
  <si>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</si>
  <si>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</si>
  <si>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</si>
  <si>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</si>
  <si>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</si>
  <si>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</si>
  <si>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</si>
  <si>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</si>
  <si>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</si>
  <si>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</si>
  <si>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</si>
  <si>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</si>
  <si>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</si>
  <si>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</si>
  <si>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</si>
  <si>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</si>
  <si>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</si>
  <si>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</si>
  <si>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</si>
  <si>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</si>
  <si>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</si>
  <si>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</si>
  <si>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</si>
  <si>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</si>
  <si>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</si>
  <si>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</si>
  <si>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Costs/50 kg bag ¶*</t>
  </si>
  <si>
    <t>Pearl millet</t>
  </si>
  <si>
    <t>Pearl millet P</t>
  </si>
  <si>
    <t>Pearl millet Zn</t>
  </si>
  <si>
    <t>Maize N</t>
  </si>
  <si>
    <t>Fertilizer Nutrient Total Maxes</t>
  </si>
  <si>
    <t>Cowpea</t>
  </si>
  <si>
    <t>Soybean</t>
  </si>
  <si>
    <t>Cowpea N</t>
  </si>
  <si>
    <t>Cowpea P</t>
  </si>
  <si>
    <t>Cowpea Zn</t>
  </si>
  <si>
    <t>Soybean P</t>
  </si>
  <si>
    <t>Sorghum KNP</t>
  </si>
  <si>
    <t>Sorghum PN</t>
  </si>
  <si>
    <t>Sorgum ZnNP</t>
  </si>
  <si>
    <t xml:space="preserve">Maize </t>
  </si>
  <si>
    <t>Rice Upland</t>
  </si>
  <si>
    <t>Rice Lowland</t>
  </si>
  <si>
    <t>Maize  Zn WNP</t>
  </si>
  <si>
    <t>Rice Lowland Zn</t>
  </si>
  <si>
    <t>Rice Upland KNP</t>
  </si>
  <si>
    <t>Rice Upland PN</t>
  </si>
  <si>
    <t>Rice Upland Zn</t>
  </si>
  <si>
    <t>Rice Lowlan PN</t>
  </si>
  <si>
    <t>Cowpea KP</t>
  </si>
  <si>
    <t>Soybean ZnPK</t>
  </si>
  <si>
    <t>Pearl millet NP</t>
  </si>
  <si>
    <t>NPK</t>
  </si>
  <si>
    <t>Complexe cereale</t>
  </si>
  <si>
    <t>Rice Upland N</t>
  </si>
  <si>
    <t>Sorghum N</t>
  </si>
  <si>
    <t>Rice Lowland N</t>
  </si>
  <si>
    <t>Soybean N</t>
  </si>
  <si>
    <t>Soybean K</t>
  </si>
  <si>
    <t>Pearl millet K</t>
  </si>
  <si>
    <t>Maize  P</t>
  </si>
  <si>
    <t>Rice Lowland P</t>
  </si>
  <si>
    <t>AEZ South Sudan Savanna</t>
  </si>
  <si>
    <t>ZnSO4</t>
  </si>
  <si>
    <t>Francis M. Tetteh and Gabriel W. Quansah</t>
  </si>
  <si>
    <t>Credits: Francis Tetteh et al. of CSIR-Soil Research Institute, Ghana and Charles Wortmann, Jim Jansen and Matthew Stockton, Universirty of Nebraska-Lincoln, USA</t>
  </si>
  <si>
    <t>For information, contact: Francis M. Tetteh; fmarthy2002@yahoo.co.uk</t>
  </si>
  <si>
    <t>Acknowledgements: support of personnel of CSIR-Soil Research Institute and funding support from the Alliance for a  Green Revolution in Africa--Soil Health Programme, and University of Nebraska-Lincoln.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</si>
</sst>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DDF456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1" fillId="0" borderId="1" xfId="3" applyFont="1" applyBorder="1" applyAlignment="1"/>
    <xf numFmtId="0" fontId="1" fillId="0" borderId="2" xfId="3" applyFont="1" applyBorder="1" applyAlignme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1" fontId="4" fillId="3" borderId="6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0" fontId="4" fillId="2" borderId="5" xfId="3" applyFont="1" applyFill="1" applyBorder="1" applyAlignment="1">
      <alignment wrapText="1"/>
    </xf>
    <xf numFmtId="0" fontId="4" fillId="3" borderId="5" xfId="3" applyFont="1" applyFill="1" applyBorder="1" applyAlignment="1">
      <alignment wrapText="1"/>
    </xf>
    <xf numFmtId="0" fontId="2" fillId="4" borderId="0" xfId="3" applyFont="1" applyFill="1" applyBorder="1" applyAlignment="1"/>
    <xf numFmtId="0" fontId="11" fillId="4" borderId="0" xfId="0" applyFont="1" applyFill="1"/>
    <xf numFmtId="0" fontId="4" fillId="4" borderId="0" xfId="3" applyFont="1" applyFill="1"/>
    <xf numFmtId="0" fontId="4" fillId="4" borderId="0" xfId="3" applyFont="1" applyFill="1" applyBorder="1" applyAlignment="1">
      <alignment horizontal="left" wrapText="1"/>
    </xf>
    <xf numFmtId="0" fontId="2" fillId="4" borderId="0" xfId="3" applyFont="1" applyFill="1" applyBorder="1" applyAlignment="1">
      <alignment horizontal="center"/>
    </xf>
    <xf numFmtId="0" fontId="1" fillId="4" borderId="0" xfId="3" applyFont="1" applyFill="1" applyBorder="1" applyAlignment="1">
      <alignment horizontal="center"/>
    </xf>
    <xf numFmtId="0" fontId="1" fillId="4" borderId="0" xfId="3" applyFont="1" applyFill="1" applyBorder="1"/>
    <xf numFmtId="0" fontId="4" fillId="2" borderId="7" xfId="3" applyFont="1" applyFill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/>
    </xf>
    <xf numFmtId="0" fontId="1" fillId="0" borderId="7" xfId="3" applyFont="1" applyBorder="1" applyAlignment="1"/>
    <xf numFmtId="0" fontId="1" fillId="0" borderId="9" xfId="3" applyFont="1" applyBorder="1" applyAlignment="1"/>
    <xf numFmtId="0" fontId="1" fillId="0" borderId="2" xfId="3" applyFont="1" applyBorder="1" applyAlignment="1">
      <alignment horizontal="left" vertical="center"/>
    </xf>
    <xf numFmtId="0" fontId="4" fillId="4" borderId="0" xfId="3" applyFont="1" applyFill="1" applyBorder="1"/>
    <xf numFmtId="0" fontId="3" fillId="3" borderId="5" xfId="3" applyFont="1" applyFill="1" applyBorder="1" applyAlignment="1">
      <alignment horizontal="center"/>
    </xf>
    <xf numFmtId="0" fontId="5" fillId="4" borderId="0" xfId="3" applyFont="1" applyFill="1" applyBorder="1" applyAlignment="1">
      <alignment horizontal="left" wrapText="1"/>
    </xf>
    <xf numFmtId="0" fontId="13" fillId="4" borderId="0" xfId="0" applyFont="1" applyFill="1"/>
    <xf numFmtId="9" fontId="4" fillId="0" borderId="8" xfId="4" applyFont="1" applyBorder="1" applyAlignment="1" applyProtection="1">
      <alignment horizontal="center"/>
      <protection locked="0"/>
    </xf>
    <xf numFmtId="9" fontId="4" fillId="0" borderId="8" xfId="4" applyFont="1" applyFill="1" applyBorder="1" applyAlignment="1" applyProtection="1">
      <alignment horizontal="center"/>
      <protection locked="0"/>
    </xf>
    <xf numFmtId="9" fontId="4" fillId="0" borderId="6" xfId="4" applyFont="1" applyBorder="1" applyAlignment="1" applyProtection="1">
      <alignment horizontal="center"/>
      <protection locked="0"/>
    </xf>
    <xf numFmtId="9" fontId="4" fillId="0" borderId="6" xfId="4" applyFont="1" applyFill="1" applyBorder="1" applyAlignment="1" applyProtection="1">
      <alignment horizontal="center"/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left" vertical="top" wrapText="1"/>
    </xf>
    <xf numFmtId="0" fontId="3" fillId="3" borderId="5" xfId="3" applyFont="1" applyFill="1" applyBorder="1" applyAlignment="1">
      <alignment horizontal="left"/>
    </xf>
    <xf numFmtId="0" fontId="3" fillId="3" borderId="3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left" vertical="center"/>
    </xf>
    <xf numFmtId="0" fontId="3" fillId="2" borderId="7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/>
    <xf numFmtId="0" fontId="14" fillId="0" borderId="7" xfId="0" applyFont="1" applyBorder="1"/>
    <xf numFmtId="0" fontId="14" fillId="0" borderId="9" xfId="0" applyFont="1" applyBorder="1"/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5" fontId="14" fillId="0" borderId="7" xfId="4" applyNumberFormat="1" applyFont="1" applyBorder="1" applyAlignment="1">
      <alignment horizontal="center"/>
    </xf>
    <xf numFmtId="0" fontId="12" fillId="4" borderId="0" xfId="0" applyFont="1" applyFill="1" applyAlignment="1">
      <alignment horizontal="right"/>
    </xf>
    <xf numFmtId="0" fontId="14" fillId="0" borderId="1" xfId="0" applyFont="1" applyBorder="1" applyAlignment="1">
      <alignment horizontal="center"/>
    </xf>
    <xf numFmtId="165" fontId="14" fillId="0" borderId="1" xfId="4" applyNumberFormat="1" applyFont="1" applyBorder="1" applyAlignment="1">
      <alignment horizontal="center"/>
    </xf>
    <xf numFmtId="165" fontId="14" fillId="0" borderId="0" xfId="4" applyNumberFormat="1" applyFont="1" applyBorder="1" applyAlignment="1">
      <alignment horizontal="center"/>
    </xf>
    <xf numFmtId="0" fontId="1" fillId="4" borderId="0" xfId="3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" fillId="4" borderId="0" xfId="3" applyFont="1" applyFill="1"/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0" fontId="14" fillId="4" borderId="0" xfId="0" applyFont="1" applyFill="1" applyBorder="1"/>
    <xf numFmtId="0" fontId="14" fillId="0" borderId="0" xfId="0" applyFont="1" applyBorder="1" applyAlignment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</xf>
    <xf numFmtId="0" fontId="14" fillId="0" borderId="12" xfId="0" applyFont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Fill="1" applyBorder="1" applyAlignment="1" applyProtection="1">
      <alignment horizontal="center"/>
      <protection locked="0"/>
    </xf>
    <xf numFmtId="166" fontId="14" fillId="0" borderId="0" xfId="0" applyNumberFormat="1" applyFont="1" applyBorder="1" applyAlignment="1" applyProtection="1">
      <alignment horizontal="center"/>
      <protection locked="0"/>
    </xf>
    <xf numFmtId="1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/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" fillId="4" borderId="0" xfId="3" applyNumberFormat="1" applyFont="1" applyFill="1" applyBorder="1" applyAlignment="1">
      <alignment horizontal="center"/>
    </xf>
    <xf numFmtId="166" fontId="14" fillId="0" borderId="0" xfId="0" applyNumberFormat="1" applyFont="1" applyBorder="1"/>
    <xf numFmtId="3" fontId="1" fillId="4" borderId="0" xfId="3" applyNumberFormat="1" applyFont="1" applyFill="1" applyBorder="1" applyAlignment="1">
      <alignment horizontal="center"/>
    </xf>
    <xf numFmtId="164" fontId="1" fillId="4" borderId="0" xfId="3" applyNumberFormat="1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4" fillId="0" borderId="8" xfId="3" applyFont="1" applyBorder="1" applyAlignment="1" applyProtection="1">
      <alignment horizontal="center"/>
      <protection locked="0"/>
    </xf>
    <xf numFmtId="0" fontId="4" fillId="0" borderId="3" xfId="3" applyFont="1" applyBorder="1" applyAlignment="1" applyProtection="1">
      <alignment horizontal="center"/>
      <protection locked="0"/>
    </xf>
    <xf numFmtId="165" fontId="14" fillId="0" borderId="11" xfId="4" applyNumberFormat="1" applyFont="1" applyFill="1" applyBorder="1" applyAlignment="1">
      <alignment horizontal="center"/>
    </xf>
    <xf numFmtId="165" fontId="14" fillId="0" borderId="9" xfId="4" applyNumberFormat="1" applyFont="1" applyFill="1" applyBorder="1" applyAlignment="1">
      <alignment horizontal="center"/>
    </xf>
    <xf numFmtId="165" fontId="14" fillId="0" borderId="0" xfId="4" applyNumberFormat="1" applyFont="1" applyFill="1" applyBorder="1" applyAlignment="1">
      <alignment horizontal="center"/>
    </xf>
    <xf numFmtId="165" fontId="14" fillId="0" borderId="2" xfId="4" applyNumberFormat="1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6" fontId="14" fillId="0" borderId="13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quotePrefix="1" applyFont="1"/>
    <xf numFmtId="165" fontId="14" fillId="0" borderId="1" xfId="4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" fillId="2" borderId="10" xfId="3" applyFont="1" applyFill="1" applyBorder="1" applyAlignment="1">
      <alignment horizontal="left" vertical="center"/>
    </xf>
    <xf numFmtId="0" fontId="18" fillId="4" borderId="0" xfId="0" applyFont="1" applyFill="1"/>
    <xf numFmtId="0" fontId="4" fillId="4" borderId="3" xfId="3" applyFont="1" applyFill="1" applyBorder="1"/>
    <xf numFmtId="0" fontId="3" fillId="4" borderId="3" xfId="3" applyFont="1" applyFill="1" applyBorder="1"/>
    <xf numFmtId="2" fontId="14" fillId="0" borderId="3" xfId="0" applyNumberFormat="1" applyFont="1" applyBorder="1" applyAlignment="1">
      <alignment horizontal="center"/>
    </xf>
    <xf numFmtId="2" fontId="14" fillId="0" borderId="3" xfId="0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2" fontId="14" fillId="0" borderId="3" xfId="0" applyNumberFormat="1" applyFont="1" applyBorder="1"/>
    <xf numFmtId="1" fontId="14" fillId="0" borderId="3" xfId="0" applyNumberFormat="1" applyFont="1" applyBorder="1"/>
    <xf numFmtId="0" fontId="14" fillId="0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166" fontId="14" fillId="0" borderId="3" xfId="0" applyNumberFormat="1" applyFont="1" applyFill="1" applyBorder="1" applyAlignment="1">
      <alignment horizontal="center"/>
    </xf>
    <xf numFmtId="0" fontId="14" fillId="0" borderId="3" xfId="0" applyFont="1" applyBorder="1" applyAlignment="1"/>
    <xf numFmtId="4" fontId="14" fillId="0" borderId="3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3" xfId="0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3" xfId="0" applyNumberFormat="1" applyFont="1" applyBorder="1"/>
    <xf numFmtId="1" fontId="19" fillId="0" borderId="3" xfId="0" applyNumberFormat="1" applyFont="1" applyBorder="1" applyAlignment="1">
      <alignment horizontal="center"/>
    </xf>
    <xf numFmtId="0" fontId="14" fillId="5" borderId="3" xfId="0" applyFont="1" applyFill="1" applyBorder="1"/>
    <xf numFmtId="0" fontId="17" fillId="5" borderId="3" xfId="0" applyFont="1" applyFill="1" applyBorder="1" applyAlignment="1">
      <alignment horizontal="right" wrapText="1"/>
    </xf>
    <xf numFmtId="0" fontId="14" fillId="5" borderId="3" xfId="0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center"/>
    </xf>
    <xf numFmtId="1" fontId="16" fillId="3" borderId="6" xfId="3" applyNumberFormat="1" applyFont="1" applyFill="1" applyBorder="1" applyAlignment="1">
      <alignment horizontal="center"/>
    </xf>
    <xf numFmtId="1" fontId="4" fillId="3" borderId="2" xfId="3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 vertical="center"/>
    </xf>
    <xf numFmtId="9" fontId="21" fillId="0" borderId="8" xfId="4" applyFont="1" applyFill="1" applyBorder="1" applyAlignment="1" applyProtection="1">
      <alignment horizontal="center"/>
      <protection locked="0"/>
    </xf>
    <xf numFmtId="9" fontId="21" fillId="0" borderId="6" xfId="4" applyFont="1" applyFill="1" applyBorder="1" applyAlignment="1" applyProtection="1">
      <alignment horizontal="center"/>
      <protection locked="0"/>
    </xf>
    <xf numFmtId="0" fontId="16" fillId="0" borderId="5" xfId="3" applyFont="1" applyFill="1" applyBorder="1" applyAlignment="1" applyProtection="1">
      <alignment horizontal="left"/>
      <protection locked="0"/>
    </xf>
    <xf numFmtId="9" fontId="16" fillId="0" borderId="13" xfId="4" applyFont="1" applyFill="1" applyBorder="1" applyAlignment="1" applyProtection="1">
      <alignment horizontal="center"/>
      <protection locked="0"/>
    </xf>
    <xf numFmtId="0" fontId="16" fillId="0" borderId="13" xfId="3" applyFont="1" applyBorder="1" applyAlignment="1" applyProtection="1">
      <alignment horizontal="center"/>
      <protection locked="0"/>
    </xf>
    <xf numFmtId="0" fontId="4" fillId="2" borderId="3" xfId="3" applyFont="1" applyFill="1" applyBorder="1" applyAlignment="1">
      <alignment horizontal="left"/>
    </xf>
    <xf numFmtId="0" fontId="4" fillId="5" borderId="1" xfId="3" applyFont="1" applyFill="1" applyBorder="1" applyAlignment="1">
      <alignment horizontal="left"/>
    </xf>
    <xf numFmtId="0" fontId="16" fillId="0" borderId="3" xfId="0" applyFont="1" applyBorder="1"/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wrapText="1"/>
    </xf>
    <xf numFmtId="9" fontId="22" fillId="0" borderId="3" xfId="4" applyFont="1" applyFill="1" applyBorder="1" applyAlignment="1">
      <alignment horizontal="center"/>
    </xf>
    <xf numFmtId="4" fontId="22" fillId="0" borderId="3" xfId="0" applyNumberFormat="1" applyFont="1" applyFill="1" applyBorder="1" applyAlignment="1">
      <alignment horizontal="center"/>
    </xf>
    <xf numFmtId="0" fontId="22" fillId="0" borderId="5" xfId="0" applyFont="1" applyBorder="1"/>
    <xf numFmtId="0" fontId="22" fillId="0" borderId="14" xfId="0" applyFont="1" applyBorder="1"/>
    <xf numFmtId="0" fontId="22" fillId="0" borderId="5" xfId="0" applyFont="1" applyBorder="1" applyAlignment="1">
      <alignment horizontal="center"/>
    </xf>
    <xf numFmtId="165" fontId="22" fillId="0" borderId="5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14" xfId="4" applyNumberFormat="1" applyFont="1" applyFill="1" applyBorder="1" applyAlignment="1">
      <alignment horizontal="center"/>
    </xf>
    <xf numFmtId="0" fontId="22" fillId="0" borderId="3" xfId="0" applyFont="1" applyBorder="1"/>
    <xf numFmtId="0" fontId="22" fillId="0" borderId="0" xfId="0" applyFont="1" applyFill="1" applyBorder="1" applyAlignment="1">
      <alignment horizontal="center"/>
    </xf>
    <xf numFmtId="2" fontId="22" fillId="0" borderId="11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2" xfId="0" applyNumberFormat="1" applyFont="1" applyFill="1" applyBorder="1" applyAlignment="1">
      <alignment horizontal="center"/>
    </xf>
    <xf numFmtId="0" fontId="14" fillId="0" borderId="3" xfId="0" applyFont="1" applyFill="1" applyBorder="1"/>
    <xf numFmtId="3" fontId="14" fillId="0" borderId="3" xfId="0" applyNumberFormat="1" applyFont="1" applyFill="1" applyBorder="1" applyAlignment="1">
      <alignment horizontal="center"/>
    </xf>
    <xf numFmtId="3" fontId="14" fillId="0" borderId="3" xfId="0" quotePrefix="1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/>
    </xf>
    <xf numFmtId="3" fontId="8" fillId="0" borderId="3" xfId="0" quotePrefix="1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14" fillId="0" borderId="3" xfId="0" applyNumberFormat="1" applyFont="1" applyFill="1" applyBorder="1" applyAlignment="1">
      <alignment horizontal="center" vertical="center"/>
    </xf>
    <xf numFmtId="3" fontId="14" fillId="0" borderId="3" xfId="0" quotePrefix="1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/>
    </xf>
    <xf numFmtId="44" fontId="8" fillId="0" borderId="3" xfId="0" applyNumberFormat="1" applyFont="1" applyFill="1" applyBorder="1"/>
    <xf numFmtId="0" fontId="14" fillId="5" borderId="3" xfId="0" applyFont="1" applyFill="1" applyBorder="1" applyAlignment="1"/>
    <xf numFmtId="0" fontId="14" fillId="5" borderId="3" xfId="0" applyFont="1" applyFill="1" applyBorder="1" applyAlignment="1">
      <alignment vertical="center"/>
    </xf>
    <xf numFmtId="0" fontId="8" fillId="5" borderId="3" xfId="0" applyFont="1" applyFill="1" applyBorder="1"/>
    <xf numFmtId="0" fontId="1" fillId="5" borderId="3" xfId="0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right" vertical="center"/>
    </xf>
    <xf numFmtId="0" fontId="8" fillId="5" borderId="3" xfId="0" applyFont="1" applyFill="1" applyBorder="1" applyAlignment="1"/>
    <xf numFmtId="1" fontId="4" fillId="3" borderId="3" xfId="3" applyNumberFormat="1" applyFont="1" applyFill="1" applyBorder="1" applyAlignment="1">
      <alignment horizontal="center"/>
    </xf>
    <xf numFmtId="1" fontId="22" fillId="5" borderId="11" xfId="0" applyNumberFormat="1" applyFont="1" applyFill="1" applyBorder="1" applyAlignment="1">
      <alignment horizontal="center"/>
    </xf>
    <xf numFmtId="1" fontId="22" fillId="5" borderId="3" xfId="0" applyNumberFormat="1" applyFont="1" applyFill="1" applyBorder="1" applyAlignment="1">
      <alignment horizontal="center"/>
    </xf>
    <xf numFmtId="0" fontId="22" fillId="5" borderId="3" xfId="0" applyFont="1" applyFill="1" applyBorder="1"/>
    <xf numFmtId="1" fontId="22" fillId="5" borderId="0" xfId="0" applyNumberFormat="1" applyFont="1" applyFill="1" applyBorder="1" applyAlignment="1">
      <alignment horizontal="center"/>
    </xf>
    <xf numFmtId="1" fontId="22" fillId="5" borderId="2" xfId="0" applyNumberFormat="1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1" fontId="22" fillId="5" borderId="14" xfId="0" applyNumberFormat="1" applyFont="1" applyFill="1" applyBorder="1" applyAlignment="1">
      <alignment horizontal="center"/>
    </xf>
    <xf numFmtId="2" fontId="22" fillId="5" borderId="3" xfId="0" applyNumberFormat="1" applyFont="1" applyFill="1" applyBorder="1" applyAlignment="1">
      <alignment horizontal="center"/>
    </xf>
    <xf numFmtId="0" fontId="16" fillId="2" borderId="3" xfId="3" applyFont="1" applyFill="1" applyBorder="1" applyAlignment="1">
      <alignment horizontal="left"/>
    </xf>
    <xf numFmtId="2" fontId="14" fillId="6" borderId="7" xfId="0" applyNumberFormat="1" applyFont="1" applyFill="1" applyBorder="1" applyAlignment="1">
      <alignment horizontal="center"/>
    </xf>
    <xf numFmtId="2" fontId="14" fillId="6" borderId="11" xfId="0" applyNumberFormat="1" applyFont="1" applyFill="1" applyBorder="1" applyAlignment="1">
      <alignment horizontal="center"/>
    </xf>
    <xf numFmtId="2" fontId="14" fillId="6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22" fillId="6" borderId="15" xfId="0" applyNumberFormat="1" applyFont="1" applyFill="1" applyBorder="1" applyAlignment="1">
      <alignment horizontal="center"/>
    </xf>
    <xf numFmtId="0" fontId="14" fillId="4" borderId="0" xfId="0" applyFont="1" applyFill="1" applyAlignment="1">
      <alignment wrapText="1"/>
    </xf>
    <xf numFmtId="0" fontId="12" fillId="7" borderId="13" xfId="0" applyFont="1" applyFill="1" applyBorder="1" applyAlignment="1" applyProtection="1">
      <alignment horizontal="center"/>
      <protection locked="0"/>
    </xf>
    <xf numFmtId="0" fontId="16" fillId="7" borderId="13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4" borderId="0" xfId="3" applyFont="1" applyFill="1" applyBorder="1" applyAlignment="1">
      <alignment horizontal="left" vertical="top" wrapText="1"/>
    </xf>
    <xf numFmtId="0" fontId="23" fillId="8" borderId="10" xfId="3" applyFont="1" applyFill="1" applyBorder="1" applyAlignment="1">
      <alignment horizontal="center"/>
    </xf>
    <xf numFmtId="0" fontId="23" fillId="8" borderId="15" xfId="3" applyFont="1" applyFill="1" applyBorder="1" applyAlignment="1">
      <alignment horizontal="center"/>
    </xf>
    <xf numFmtId="0" fontId="23" fillId="8" borderId="14" xfId="3" applyFont="1" applyFill="1" applyBorder="1" applyAlignment="1">
      <alignment horizontal="center"/>
    </xf>
    <xf numFmtId="3" fontId="4" fillId="3" borderId="10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/>
      <protection locked="0"/>
    </xf>
    <xf numFmtId="167" fontId="12" fillId="4" borderId="3" xfId="0" applyNumberFormat="1" applyFont="1" applyFill="1" applyBorder="1" applyAlignment="1">
      <alignment horizontal="center"/>
    </xf>
    <xf numFmtId="0" fontId="3" fillId="5" borderId="10" xfId="3" applyFont="1" applyFill="1" applyBorder="1" applyAlignment="1">
      <alignment horizontal="center"/>
    </xf>
    <xf numFmtId="0" fontId="3" fillId="5" borderId="12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3" fillId="5" borderId="11" xfId="3" applyFont="1" applyFill="1" applyBorder="1" applyAlignment="1">
      <alignment horizontal="center"/>
    </xf>
    <xf numFmtId="0" fontId="3" fillId="5" borderId="9" xfId="3" applyFont="1" applyFill="1" applyBorder="1" applyAlignment="1">
      <alignment horizontal="center"/>
    </xf>
    <xf numFmtId="0" fontId="4" fillId="4" borderId="0" xfId="3" applyFont="1" applyFill="1" applyBorder="1" applyAlignment="1">
      <alignment horizontal="left" vertical="top" wrapText="1"/>
    </xf>
    <xf numFmtId="0" fontId="23" fillId="8" borderId="12" xfId="3" applyFont="1" applyFill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3" fillId="8" borderId="15" xfId="3" applyFont="1" applyFill="1" applyBorder="1" applyAlignment="1">
      <alignment horizontal="center"/>
    </xf>
    <xf numFmtId="0" fontId="3" fillId="8" borderId="14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3" fillId="3" borderId="12" xfId="3" applyFont="1" applyFill="1" applyBorder="1" applyAlignment="1">
      <alignment horizontal="center"/>
    </xf>
  </cellXfs>
  <cellStyles count="5">
    <cellStyle name="Currency 2" xfId="1" xr:uid="{3724EAAB-809B-4FAA-9540-7DF76FEFC2BD}"/>
    <cellStyle name="Normal" xfId="0" builtinId="0"/>
    <cellStyle name="Normal 2" xfId="2" xr:uid="{6111D03E-FA2E-4725-B6B2-394BA6ACB825}"/>
    <cellStyle name="Normal 3" xfId="3" xr:uid="{F91181FF-58F2-46F5-B3FA-5FD078456505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0</xdr:rowOff>
    </xdr:from>
    <xdr:to>
      <xdr:col>1</xdr:col>
      <xdr:colOff>1625600</xdr:colOff>
      <xdr:row>4</xdr:row>
      <xdr:rowOff>0</xdr:rowOff>
    </xdr:to>
    <xdr:pic>
      <xdr:nvPicPr>
        <xdr:cNvPr id="1066" name="Content Placeholder 3">
          <a:extLst>
            <a:ext uri="{FF2B5EF4-FFF2-40B4-BE49-F238E27FC236}">
              <a16:creationId xmlns:a16="http://schemas.microsoft.com/office/drawing/2014/main" id="{919D99F4-7376-BE90-CD5B-83746D8D75C4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0"/>
          <a:ext cx="1479550" cy="711200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222250</xdr:colOff>
      <xdr:row>0</xdr:row>
      <xdr:rowOff>25400</xdr:rowOff>
    </xdr:from>
    <xdr:to>
      <xdr:col>6</xdr:col>
      <xdr:colOff>292100</xdr:colOff>
      <xdr:row>7</xdr:row>
      <xdr:rowOff>88900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3C594ACD-4F95-0E5B-211C-798D41E9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25400"/>
          <a:ext cx="29972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0</xdr:row>
      <xdr:rowOff>69850</xdr:rowOff>
    </xdr:from>
    <xdr:to>
      <xdr:col>3</xdr:col>
      <xdr:colOff>38100</xdr:colOff>
      <xdr:row>7</xdr:row>
      <xdr:rowOff>25400</xdr:rowOff>
    </xdr:to>
    <xdr:pic>
      <xdr:nvPicPr>
        <xdr:cNvPr id="1068" name="Picture 1" descr="https://tse1.mm.bing.net/th?&amp;id=OIP.M38b3060efc6b9bea868f64e2be9c017cH0&amp;w=221&amp;h=221&amp;c=0&amp;pid=1.9&amp;rs=0&amp;p=0">
          <a:extLst>
            <a:ext uri="{FF2B5EF4-FFF2-40B4-BE49-F238E27FC236}">
              <a16:creationId xmlns:a16="http://schemas.microsoft.com/office/drawing/2014/main" id="{D046E863-CD7E-F9AB-76F5-735D52DF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69850"/>
          <a:ext cx="1377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36</xdr:row>
          <xdr:rowOff>57150</xdr:rowOff>
        </xdr:from>
        <xdr:to>
          <xdr:col>1</xdr:col>
          <xdr:colOff>1162050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8A1AAE30-BD14-35E4-0726-3AAF4E19FA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298450</xdr:colOff>
          <xdr:row>36</xdr:row>
          <xdr:rowOff>50800</xdr:rowOff>
        </xdr:from>
        <xdr:to>
          <xdr:col>3</xdr:col>
          <xdr:colOff>527050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44830FB-9B3E-07D3-C5AA-3181D62C5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4</xdr:row>
          <xdr:rowOff>0</xdr:rowOff>
        </xdr:from>
        <xdr:to>
          <xdr:col>1</xdr:col>
          <xdr:colOff>1231900</xdr:colOff>
          <xdr:row>5</xdr:row>
          <xdr:rowOff>101600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CCD9A7B3-4D20-7237-E137-2008E8049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64</xdr:row>
          <xdr:rowOff>63500</xdr:rowOff>
        </xdr:from>
        <xdr:to>
          <xdr:col>1</xdr:col>
          <xdr:colOff>1162050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DAFAF31-67FC-ABD2-A139-8199C78E6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50800</xdr:colOff>
          <xdr:row>2</xdr:row>
          <xdr:rowOff>63500</xdr:rowOff>
        </xdr:from>
        <xdr:to>
          <xdr:col>11</xdr:col>
          <xdr:colOff>1155700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277A4D38-6C2F-37E5-36D9-220D2FF4B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82D2B-A8B7-4D09-B453-D23A7E9051E1}">
  <sheetPr codeName="Sheet1"/>
  <dimension ref="A1:U41"/>
  <sheetViews>
    <sheetView showGridLines="0" workbookViewId="0"/>
  </sheetViews>
  <sheetFormatPr defaultRowHeight="14.5" x14ac:dyDescent="0.35"/>
  <cols>
    <col min="1" max="1" width="9.1796875" style="1" customWidth="1"/>
  </cols>
  <sheetData>
    <row r="1" spans="1:21" ht="18.5" x14ac:dyDescent="0.4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.5" x14ac:dyDescent="0.45">
      <c r="A2" s="13"/>
      <c r="B2" s="30" t="s">
        <v>86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.5" x14ac:dyDescent="0.4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5" x14ac:dyDescent="0.45">
      <c r="A4" s="13"/>
      <c r="B4" s="13" t="s">
        <v>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5" x14ac:dyDescent="0.45">
      <c r="A5" s="13"/>
      <c r="B5" s="13" t="s">
        <v>66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5" x14ac:dyDescent="0.45">
      <c r="A6" s="13"/>
      <c r="B6" s="13" t="s">
        <v>67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.5" x14ac:dyDescent="0.45">
      <c r="A7" s="13"/>
      <c r="B7" s="13" t="s">
        <v>68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.5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.5" x14ac:dyDescent="0.45">
      <c r="A9" s="13"/>
      <c r="B9" s="13" t="s">
        <v>87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.5" x14ac:dyDescent="0.45">
      <c r="A10" s="13"/>
      <c r="B10" s="13" t="s">
        <v>79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.5" x14ac:dyDescent="0.45">
      <c r="A11" s="13"/>
      <c r="B11" s="13" t="s">
        <v>80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5" x14ac:dyDescent="0.45">
      <c r="A12" s="13"/>
      <c r="B12" s="13" t="s">
        <v>85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.5" x14ac:dyDescent="0.4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.5" x14ac:dyDescent="0.4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.5" x14ac:dyDescent="0.4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.5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5" customHeight="1" x14ac:dyDescent="0.4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.5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8.5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8.5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8.5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8.5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8.5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8.5" x14ac:dyDescent="0.4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8.5" x14ac:dyDescent="0.4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8.5" x14ac:dyDescent="0.4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8.5" x14ac:dyDescent="0.4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.5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ht="18.5" x14ac:dyDescent="0.4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ht="18.5" x14ac:dyDescent="0.4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ht="18.5" x14ac:dyDescent="0.4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ht="18.5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ht="18.5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8.5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ht="18.5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ht="18.5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ht="18.5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ht="18.5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ht="18.5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18.5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ht="18.5" x14ac:dyDescent="0.4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571-4723-4FAD-A6C7-07AA3A5E6288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5" customWidth="1"/>
    <col min="2" max="2" width="37.7265625" style="45" customWidth="1"/>
    <col min="3" max="3" width="19.7265625" style="45" customWidth="1"/>
    <col min="4" max="4" width="15" style="45" customWidth="1"/>
    <col min="5" max="7" width="13.453125" style="45" customWidth="1"/>
    <col min="8" max="8" width="13.1796875" style="98" customWidth="1"/>
    <col min="9" max="9" width="9.1796875" style="45" customWidth="1"/>
    <col min="10" max="10" width="17.81640625" style="45" customWidth="1"/>
    <col min="11" max="11" width="9.1796875" style="45" customWidth="1"/>
    <col min="12" max="12" width="32.81640625" style="45" hidden="1" customWidth="1"/>
    <col min="13" max="13" width="12" style="45" hidden="1" customWidth="1"/>
    <col min="14" max="14" width="23" style="45" hidden="1" customWidth="1"/>
    <col min="15" max="16" width="18.81640625" style="45" hidden="1" customWidth="1"/>
    <col min="17" max="17" width="20.1796875" style="45" hidden="1" customWidth="1"/>
    <col min="18" max="18" width="18.1796875" style="45" hidden="1" customWidth="1"/>
    <col min="19" max="19" width="21.7265625" style="45" hidden="1" customWidth="1"/>
    <col min="20" max="20" width="24.453125" style="45" hidden="1" customWidth="1"/>
    <col min="21" max="21" width="19.54296875" style="45" hidden="1" customWidth="1"/>
    <col min="22" max="22" width="17.453125" style="45" hidden="1" customWidth="1"/>
    <col min="23" max="23" width="13.1796875" style="45" hidden="1" customWidth="1"/>
    <col min="24" max="24" width="12.81640625" style="45" hidden="1" customWidth="1"/>
    <col min="25" max="25" width="14.81640625" style="45" hidden="1" customWidth="1"/>
    <col min="26" max="26" width="14.7265625" style="45" hidden="1" customWidth="1"/>
    <col min="27" max="27" width="14.453125" style="45" hidden="1" customWidth="1"/>
    <col min="28" max="29" width="12.26953125" style="45" hidden="1" customWidth="1"/>
    <col min="30" max="30" width="11.81640625" style="45" hidden="1" customWidth="1"/>
    <col min="31" max="31" width="11.54296875" style="131" hidden="1" customWidth="1"/>
    <col min="32" max="32" width="11.54296875" style="45" hidden="1" customWidth="1"/>
    <col min="33" max="33" width="11.81640625" style="45" hidden="1" customWidth="1"/>
    <col min="34" max="35" width="11.54296875" style="45" hidden="1" customWidth="1"/>
    <col min="36" max="16384" width="9.1796875" style="45"/>
  </cols>
  <sheetData>
    <row r="1" spans="1:37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AJ1" s="44"/>
      <c r="AK1" s="44"/>
    </row>
    <row r="2" spans="1:37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AJ2" s="44"/>
      <c r="AK2" s="44"/>
    </row>
    <row r="3" spans="1:37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AJ3" s="44"/>
      <c r="AK3" s="44"/>
    </row>
    <row r="4" spans="1:37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P4" s="113"/>
      <c r="AJ4" s="44"/>
      <c r="AK4" s="44"/>
    </row>
    <row r="5" spans="1:37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AJ5" s="44"/>
      <c r="AK5" s="44"/>
    </row>
    <row r="6" spans="1:37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AJ6" s="44"/>
      <c r="AK6" s="44"/>
    </row>
    <row r="7" spans="1:37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AJ7" s="44"/>
      <c r="AK7" s="44"/>
    </row>
    <row r="8" spans="1:37" ht="32.5" customHeight="1" x14ac:dyDescent="0.4">
      <c r="A8" s="44"/>
      <c r="B8" s="44"/>
      <c r="C8" s="44"/>
      <c r="D8" s="117" t="s">
        <v>141</v>
      </c>
      <c r="E8" s="117"/>
      <c r="F8" s="117"/>
      <c r="G8" s="117"/>
      <c r="H8" s="44"/>
      <c r="I8" s="44"/>
      <c r="J8" s="44"/>
      <c r="K8" s="44"/>
      <c r="N8" s="46" t="s">
        <v>19</v>
      </c>
      <c r="O8" s="47"/>
      <c r="P8" s="48" t="s">
        <v>60</v>
      </c>
      <c r="Q8" s="49" t="s">
        <v>20</v>
      </c>
      <c r="R8" s="49" t="s">
        <v>22</v>
      </c>
      <c r="S8" s="50" t="s">
        <v>21</v>
      </c>
      <c r="T8" s="157" t="s">
        <v>101</v>
      </c>
      <c r="U8" s="158" t="s">
        <v>36</v>
      </c>
      <c r="AJ8" s="44"/>
      <c r="AK8" s="44"/>
    </row>
    <row r="9" spans="1:37" ht="20" x14ac:dyDescent="0.4">
      <c r="A9" s="44"/>
      <c r="B9" s="44"/>
      <c r="C9" s="44"/>
      <c r="D9" s="117"/>
      <c r="E9" s="117"/>
      <c r="F9" s="117"/>
      <c r="G9" s="117"/>
      <c r="H9" s="44"/>
      <c r="I9" s="44"/>
      <c r="J9" s="44"/>
      <c r="K9" s="44"/>
      <c r="N9" s="24" t="s">
        <v>10</v>
      </c>
      <c r="O9" s="25"/>
      <c r="P9" s="51" t="s">
        <v>10</v>
      </c>
      <c r="Q9" s="52">
        <f>IF(OR(C26=0,C26="%"),0,C26)</f>
        <v>0.46</v>
      </c>
      <c r="R9" s="101">
        <f>IF(OR(D26=0,D26="%"),0,D26*0.437)</f>
        <v>0</v>
      </c>
      <c r="S9" s="102">
        <f>IF(OR(E26=0,E26="%"),0,E26*0.83)</f>
        <v>0</v>
      </c>
      <c r="T9" s="159">
        <f>IF(OR(F26=0,F26="%"),0,F26)</f>
        <v>0</v>
      </c>
      <c r="U9" s="160">
        <f>IF(G26&lt;=0,0,(G26/50))</f>
        <v>2</v>
      </c>
      <c r="AJ9" s="44"/>
      <c r="AK9" s="44"/>
    </row>
    <row r="10" spans="1:37" ht="18" x14ac:dyDescent="0.4">
      <c r="A10" s="44"/>
      <c r="B10" s="53" t="s">
        <v>76</v>
      </c>
      <c r="C10" s="238" t="s">
        <v>82</v>
      </c>
      <c r="D10" s="238"/>
      <c r="E10" s="12"/>
      <c r="F10" s="12"/>
      <c r="G10" s="44"/>
      <c r="H10" s="44"/>
      <c r="I10" s="44"/>
      <c r="J10" s="44"/>
      <c r="K10" s="44"/>
      <c r="N10" s="2" t="s">
        <v>16</v>
      </c>
      <c r="O10" s="3"/>
      <c r="P10" s="54" t="s">
        <v>13</v>
      </c>
      <c r="Q10" s="55">
        <f>IF(OR(C27=0,C27="%"),0,C27)</f>
        <v>0</v>
      </c>
      <c r="R10" s="103">
        <f>IF(OR(D27=0,D27="%"),0,D27*0.437)</f>
        <v>0</v>
      </c>
      <c r="S10" s="104">
        <f>IF(OR(E27=0,E27="%"),0,E27*0.83)</f>
        <v>0</v>
      </c>
      <c r="T10" s="159">
        <f>IF(OR(F27=0,F27="%"),0,F27)</f>
        <v>0</v>
      </c>
      <c r="U10" s="160">
        <f>IF(G27&lt;=0,0,(G27/50))</f>
        <v>3</v>
      </c>
      <c r="AJ10" s="44"/>
      <c r="AK10" s="44"/>
    </row>
    <row r="11" spans="1:37" ht="18" x14ac:dyDescent="0.4">
      <c r="A11" s="44"/>
      <c r="B11" s="53" t="s">
        <v>77</v>
      </c>
      <c r="C11" s="238" t="s">
        <v>143</v>
      </c>
      <c r="D11" s="238"/>
      <c r="E11" s="57"/>
      <c r="F11" s="57"/>
      <c r="G11" s="44"/>
      <c r="H11" s="44"/>
      <c r="I11" s="44"/>
      <c r="J11" s="44"/>
      <c r="K11" s="44"/>
      <c r="N11" s="2" t="s">
        <v>17</v>
      </c>
      <c r="O11" s="3"/>
      <c r="P11" s="58" t="s">
        <v>14</v>
      </c>
      <c r="Q11" s="114">
        <f>IF(OR(C28=0,C28="%"),0,C28)</f>
        <v>0.18</v>
      </c>
      <c r="R11" s="103">
        <f>IF(OR(D28=0,D28="%"),0,D28*0.437)</f>
        <v>0.20102</v>
      </c>
      <c r="S11" s="104">
        <f>IF(OR(E28=0,E28="%"),0,E28*0.83)</f>
        <v>0</v>
      </c>
      <c r="T11" s="159">
        <f>IF(OR(F28=0,F28="%"),0,F28)</f>
        <v>0</v>
      </c>
      <c r="U11" s="160">
        <f>IF(G28&lt;=0,0,(G28/50))</f>
        <v>0</v>
      </c>
      <c r="AJ11" s="44"/>
      <c r="AK11" s="44"/>
    </row>
    <row r="12" spans="1:37" ht="18" x14ac:dyDescent="0.4">
      <c r="A12" s="44"/>
      <c r="B12" s="53" t="s">
        <v>78</v>
      </c>
      <c r="C12" s="239">
        <f ca="1">TODAY()</f>
        <v>46028</v>
      </c>
      <c r="D12" s="239"/>
      <c r="E12" s="59"/>
      <c r="F12" s="59"/>
      <c r="G12" s="44"/>
      <c r="H12" s="44"/>
      <c r="I12" s="44"/>
      <c r="J12" s="44"/>
      <c r="K12" s="44"/>
      <c r="N12" s="23" t="s">
        <v>18</v>
      </c>
      <c r="O12" s="26"/>
      <c r="P12" s="60" t="s">
        <v>23</v>
      </c>
      <c r="Q12" s="55">
        <f>IF(OR(C29=0,C29="%"),0,C29)</f>
        <v>0</v>
      </c>
      <c r="R12" s="103">
        <f>IF(OR(D29=0,D29="%"),0,D29*0.437)</f>
        <v>0</v>
      </c>
      <c r="S12" s="104">
        <f>IF(OR(E29=0,E29="%"),0,E29*0.83)</f>
        <v>0.49799999999999994</v>
      </c>
      <c r="T12" s="159">
        <f>IF(OR(F29=0,F29="%"),0,F29)</f>
        <v>0</v>
      </c>
      <c r="U12" s="160">
        <f>IF(G29&lt;=0,0,(G29/50))</f>
        <v>3</v>
      </c>
      <c r="AJ12" s="44"/>
      <c r="AK12" s="44"/>
    </row>
    <row r="13" spans="1:37" x14ac:dyDescent="0.3">
      <c r="A13" s="44"/>
      <c r="B13" s="44"/>
      <c r="C13" s="44"/>
      <c r="D13" s="44"/>
      <c r="E13" s="59"/>
      <c r="F13" s="59"/>
      <c r="G13" s="44"/>
      <c r="H13" s="44"/>
      <c r="I13" s="44"/>
      <c r="J13" s="44"/>
      <c r="K13" s="44"/>
      <c r="N13" s="161" t="s">
        <v>132</v>
      </c>
      <c r="O13" s="162"/>
      <c r="P13" s="163" t="s">
        <v>131</v>
      </c>
      <c r="Q13" s="164">
        <f>IF(OR(C30=0,C30="%"),0,C30)</f>
        <v>0</v>
      </c>
      <c r="R13" s="165">
        <v>0.15</v>
      </c>
      <c r="S13" s="166">
        <v>0.15</v>
      </c>
      <c r="T13" s="159">
        <f>IF(OR(F30=0,F30="%"),0,F30)</f>
        <v>0.123</v>
      </c>
      <c r="U13" s="160">
        <f>IF(G30&lt;=0,0,(G30/50))</f>
        <v>12</v>
      </c>
      <c r="AJ13" s="44"/>
      <c r="AK13" s="44"/>
    </row>
    <row r="14" spans="1:37" ht="18" x14ac:dyDescent="0.4">
      <c r="A14" s="44"/>
      <c r="B14" s="244" t="s">
        <v>5</v>
      </c>
      <c r="C14" s="245"/>
      <c r="D14" s="246"/>
      <c r="E14" s="59"/>
      <c r="F14" s="59"/>
      <c r="G14" s="44"/>
      <c r="H14" s="44"/>
      <c r="I14" s="44"/>
      <c r="J14" s="44"/>
      <c r="K14" s="44"/>
      <c r="N14" s="63"/>
      <c r="O14" s="63"/>
      <c r="P14" s="64"/>
      <c r="Q14" s="56"/>
      <c r="R14" s="56"/>
      <c r="S14" s="56"/>
      <c r="T14" s="65"/>
      <c r="AJ14" s="44"/>
      <c r="AK14" s="44"/>
    </row>
    <row r="15" spans="1:37" ht="54" x14ac:dyDescent="0.3">
      <c r="A15" s="44"/>
      <c r="B15" s="41" t="s">
        <v>6</v>
      </c>
      <c r="C15" s="4" t="s">
        <v>7</v>
      </c>
      <c r="D15" s="5" t="s">
        <v>91</v>
      </c>
      <c r="E15" s="59"/>
      <c r="F15" s="59"/>
      <c r="G15" s="44"/>
      <c r="H15" s="44"/>
      <c r="I15" s="44"/>
      <c r="J15" s="44"/>
      <c r="K15" s="44"/>
      <c r="AJ15" s="44"/>
      <c r="AK15" s="44"/>
    </row>
    <row r="16" spans="1:37" ht="17.5" x14ac:dyDescent="0.35">
      <c r="A16" s="44"/>
      <c r="B16" s="154" t="s">
        <v>119</v>
      </c>
      <c r="C16" s="35">
        <v>2</v>
      </c>
      <c r="D16" s="35">
        <v>0.75</v>
      </c>
      <c r="E16" s="59"/>
      <c r="F16" s="59"/>
      <c r="G16" s="44"/>
      <c r="H16" s="44"/>
      <c r="I16" s="44"/>
      <c r="J16" s="44"/>
      <c r="K16" s="44"/>
      <c r="N16" s="225" t="s">
        <v>33</v>
      </c>
      <c r="O16" s="226"/>
      <c r="P16" s="226"/>
      <c r="Q16" s="226"/>
      <c r="R16" s="226"/>
      <c r="S16" s="226"/>
      <c r="T16" s="226"/>
      <c r="U16" s="226"/>
      <c r="V16" s="226"/>
      <c r="W16" s="226"/>
      <c r="X16" s="227"/>
      <c r="Y16" s="225" t="s">
        <v>109</v>
      </c>
      <c r="Z16" s="226"/>
      <c r="AA16" s="226"/>
      <c r="AB16" s="227"/>
      <c r="AJ16" s="44"/>
      <c r="AK16" s="44"/>
    </row>
    <row r="17" spans="1:37" ht="17.5" x14ac:dyDescent="0.35">
      <c r="A17" s="44"/>
      <c r="B17" s="6" t="s">
        <v>120</v>
      </c>
      <c r="C17" s="35">
        <v>2</v>
      </c>
      <c r="D17" s="35">
        <v>1.22</v>
      </c>
      <c r="E17" s="59"/>
      <c r="F17" s="59"/>
      <c r="G17" s="44"/>
      <c r="H17" s="44"/>
      <c r="I17" s="44"/>
      <c r="J17" s="44"/>
      <c r="K17" s="44"/>
      <c r="N17" s="61" t="s">
        <v>6</v>
      </c>
      <c r="O17" s="54" t="s">
        <v>25</v>
      </c>
      <c r="P17" s="64" t="s">
        <v>26</v>
      </c>
      <c r="Q17" s="64" t="s">
        <v>27</v>
      </c>
      <c r="R17" s="64" t="s">
        <v>28</v>
      </c>
      <c r="S17" s="168" t="str">
        <f>P13&amp;" Min"</f>
        <v>NPK Min</v>
      </c>
      <c r="T17" s="111" t="s">
        <v>29</v>
      </c>
      <c r="U17" s="112" t="s">
        <v>30</v>
      </c>
      <c r="V17" s="112" t="s">
        <v>31</v>
      </c>
      <c r="W17" s="112" t="s">
        <v>32</v>
      </c>
      <c r="X17" s="171" t="str">
        <f>B30&amp;"Max"</f>
        <v>ZnSO4Max</v>
      </c>
      <c r="Y17" s="172" t="s">
        <v>61</v>
      </c>
      <c r="Z17" s="157" t="s">
        <v>62</v>
      </c>
      <c r="AA17" s="173" t="s">
        <v>64</v>
      </c>
      <c r="AB17" s="167" t="str">
        <f>B30&amp;"sum"</f>
        <v>ZnSO4sum</v>
      </c>
      <c r="AJ17" s="44"/>
      <c r="AK17" s="44"/>
    </row>
    <row r="18" spans="1:37" ht="17.5" x14ac:dyDescent="0.35">
      <c r="A18" s="44"/>
      <c r="B18" s="116" t="s">
        <v>0</v>
      </c>
      <c r="C18" s="35">
        <v>1</v>
      </c>
      <c r="D18" s="35">
        <v>1.52</v>
      </c>
      <c r="E18" s="44"/>
      <c r="F18" s="44"/>
      <c r="G18" s="44"/>
      <c r="H18" s="44"/>
      <c r="I18" s="44"/>
      <c r="J18" s="44"/>
      <c r="K18" s="44"/>
      <c r="N18" s="155" t="str">
        <f t="shared" ref="N18:N24" si="0">B16</f>
        <v xml:space="preserve">Maize </v>
      </c>
      <c r="O18" s="67">
        <v>0</v>
      </c>
      <c r="P18" s="68">
        <v>0</v>
      </c>
      <c r="Q18" s="68">
        <v>0</v>
      </c>
      <c r="R18" s="68">
        <v>0</v>
      </c>
      <c r="S18" s="169">
        <v>0</v>
      </c>
      <c r="T18" s="217">
        <v>150</v>
      </c>
      <c r="U18" s="218">
        <v>100</v>
      </c>
      <c r="V18" s="218">
        <f>IF($G$28&lt;=0,0,150)</f>
        <v>0</v>
      </c>
      <c r="W18" s="218">
        <f>IF($G$29&lt;=0,0,60)</f>
        <v>60</v>
      </c>
      <c r="X18" s="218">
        <f>IF($G$30&lt;=0,0,200)</f>
        <v>200</v>
      </c>
      <c r="Y18" s="208">
        <v>70</v>
      </c>
      <c r="Z18" s="209">
        <v>50</v>
      </c>
      <c r="AA18" s="209">
        <v>60</v>
      </c>
      <c r="AB18" s="210">
        <v>5</v>
      </c>
      <c r="AJ18" s="44"/>
      <c r="AK18" s="44"/>
    </row>
    <row r="19" spans="1:37" ht="17.5" x14ac:dyDescent="0.35">
      <c r="A19" s="44"/>
      <c r="B19" s="116" t="s">
        <v>121</v>
      </c>
      <c r="C19" s="35">
        <v>1</v>
      </c>
      <c r="D19" s="35">
        <v>1.22</v>
      </c>
      <c r="E19" s="59"/>
      <c r="F19" s="59"/>
      <c r="G19" s="44"/>
      <c r="H19" s="44"/>
      <c r="I19" s="44"/>
      <c r="J19" s="44"/>
      <c r="K19" s="44"/>
      <c r="N19" s="155" t="str">
        <f t="shared" si="0"/>
        <v>Rice Upland</v>
      </c>
      <c r="O19" s="69">
        <v>0</v>
      </c>
      <c r="P19" s="70">
        <v>0</v>
      </c>
      <c r="Q19" s="70">
        <v>0</v>
      </c>
      <c r="R19" s="70">
        <v>0</v>
      </c>
      <c r="S19" s="170">
        <v>0</v>
      </c>
      <c r="T19" s="219">
        <f>IF($G$26&lt;=0,0,150)</f>
        <v>150</v>
      </c>
      <c r="U19" s="220">
        <f>IF($G$27&lt;=0,0,100)</f>
        <v>100</v>
      </c>
      <c r="V19" s="220">
        <f>IF($G$28&lt;=0,0,150)</f>
        <v>0</v>
      </c>
      <c r="W19" s="220">
        <f>IF($G$29&lt;=0,0,60)</f>
        <v>60</v>
      </c>
      <c r="X19" s="218">
        <f t="shared" ref="X19:X24" si="1">IF($G$30&lt;=0,0,200)</f>
        <v>200</v>
      </c>
      <c r="Y19" s="211">
        <v>70</v>
      </c>
      <c r="Z19" s="209">
        <v>50</v>
      </c>
      <c r="AA19" s="209">
        <v>50</v>
      </c>
      <c r="AB19" s="210">
        <v>5</v>
      </c>
      <c r="AJ19" s="44"/>
      <c r="AK19" s="44"/>
    </row>
    <row r="20" spans="1:37" ht="17.5" x14ac:dyDescent="0.35">
      <c r="A20" s="44"/>
      <c r="B20" s="154" t="s">
        <v>110</v>
      </c>
      <c r="C20" s="35">
        <v>1</v>
      </c>
      <c r="D20" s="35">
        <v>2.4300000000000002</v>
      </c>
      <c r="E20" s="59"/>
      <c r="F20" s="59"/>
      <c r="G20" s="71"/>
      <c r="H20" s="44"/>
      <c r="I20" s="44"/>
      <c r="J20" s="44"/>
      <c r="K20" s="44"/>
      <c r="N20" s="155" t="str">
        <f t="shared" si="0"/>
        <v>Sorghum</v>
      </c>
      <c r="O20" s="69">
        <v>0</v>
      </c>
      <c r="P20" s="70">
        <v>0</v>
      </c>
      <c r="Q20" s="70">
        <v>0</v>
      </c>
      <c r="R20" s="70">
        <v>0</v>
      </c>
      <c r="S20" s="170">
        <v>0</v>
      </c>
      <c r="T20" s="219">
        <f>IF($G$26&lt;=0,0,50)</f>
        <v>50</v>
      </c>
      <c r="U20" s="220">
        <f>IF($G$27&lt;=0,0,50)</f>
        <v>50</v>
      </c>
      <c r="V20" s="220">
        <f>IF($G$28&lt;=0,0,100)</f>
        <v>0</v>
      </c>
      <c r="W20" s="220">
        <f>IF($G$29&lt;=0,0,50)</f>
        <v>50</v>
      </c>
      <c r="X20" s="218">
        <f t="shared" si="1"/>
        <v>200</v>
      </c>
      <c r="Y20" s="211">
        <v>70</v>
      </c>
      <c r="Z20" s="209">
        <v>50</v>
      </c>
      <c r="AA20" s="209">
        <v>50</v>
      </c>
      <c r="AB20" s="210">
        <v>5</v>
      </c>
      <c r="AJ20" s="44"/>
      <c r="AK20" s="44"/>
    </row>
    <row r="21" spans="1:37" ht="17.5" x14ac:dyDescent="0.35">
      <c r="A21" s="44"/>
      <c r="B21" s="7" t="s">
        <v>111</v>
      </c>
      <c r="C21" s="35">
        <v>1</v>
      </c>
      <c r="D21" s="35">
        <v>1.77</v>
      </c>
      <c r="E21" s="59"/>
      <c r="F21" s="59"/>
      <c r="G21" s="71"/>
      <c r="H21" s="44"/>
      <c r="I21" s="44"/>
      <c r="J21" s="44"/>
      <c r="K21" s="44"/>
      <c r="N21" s="155" t="str">
        <f t="shared" si="0"/>
        <v>Rice Lowland</v>
      </c>
      <c r="O21" s="69">
        <v>0</v>
      </c>
      <c r="P21" s="70">
        <v>0</v>
      </c>
      <c r="Q21" s="70">
        <v>0</v>
      </c>
      <c r="R21" s="70">
        <v>0</v>
      </c>
      <c r="S21" s="170">
        <v>0</v>
      </c>
      <c r="T21" s="219">
        <f>IF($G$26&lt;=0,0,150)</f>
        <v>150</v>
      </c>
      <c r="U21" s="220">
        <f>IF($G$27&lt;=0,0,100)</f>
        <v>100</v>
      </c>
      <c r="V21" s="220">
        <f>IF($G$28&lt;=0,0,150)</f>
        <v>0</v>
      </c>
      <c r="W21" s="220">
        <f>IF($G$29&lt;=0,0,60)</f>
        <v>60</v>
      </c>
      <c r="X21" s="218">
        <f t="shared" si="1"/>
        <v>200</v>
      </c>
      <c r="Y21" s="211">
        <v>70</v>
      </c>
      <c r="Z21" s="209">
        <v>50</v>
      </c>
      <c r="AA21" s="209">
        <v>50</v>
      </c>
      <c r="AB21" s="210">
        <v>5</v>
      </c>
      <c r="AJ21" s="44"/>
      <c r="AK21" s="44"/>
    </row>
    <row r="22" spans="1:37" ht="18" x14ac:dyDescent="0.4">
      <c r="A22" s="44"/>
      <c r="B22" s="216" t="s">
        <v>105</v>
      </c>
      <c r="C22" s="223">
        <v>1</v>
      </c>
      <c r="D22" s="224">
        <v>1.69</v>
      </c>
      <c r="E22" s="44"/>
      <c r="F22" s="44"/>
      <c r="G22" s="71"/>
      <c r="H22" s="44"/>
      <c r="I22" s="44"/>
      <c r="J22" s="44"/>
      <c r="K22" s="44"/>
      <c r="N22" s="155" t="str">
        <f t="shared" si="0"/>
        <v>Cowpea</v>
      </c>
      <c r="O22" s="69">
        <v>0</v>
      </c>
      <c r="P22" s="70">
        <v>0</v>
      </c>
      <c r="Q22" s="70">
        <v>0</v>
      </c>
      <c r="R22" s="70">
        <v>0</v>
      </c>
      <c r="S22" s="170">
        <v>0</v>
      </c>
      <c r="T22" s="219">
        <f>IF($G$26&lt;=0,0,25)</f>
        <v>25</v>
      </c>
      <c r="U22" s="220">
        <f>IF($G$27&lt;=0,0,100)</f>
        <v>100</v>
      </c>
      <c r="V22" s="220">
        <v>100</v>
      </c>
      <c r="W22" s="220">
        <f>IF($G$29&lt;=0,0,50)</f>
        <v>50</v>
      </c>
      <c r="X22" s="218">
        <f t="shared" si="1"/>
        <v>200</v>
      </c>
      <c r="Y22" s="211">
        <v>70</v>
      </c>
      <c r="Z22" s="209">
        <v>50</v>
      </c>
      <c r="AA22" s="209">
        <v>50</v>
      </c>
      <c r="AB22" s="210">
        <v>5</v>
      </c>
      <c r="AJ22" s="44"/>
      <c r="AK22" s="44"/>
    </row>
    <row r="23" spans="1:37" ht="18" x14ac:dyDescent="0.4">
      <c r="A23" s="44"/>
      <c r="B23" s="119" t="s">
        <v>99</v>
      </c>
      <c r="C23" s="119">
        <f>SUM(C16:C22)</f>
        <v>9</v>
      </c>
      <c r="D23" s="118"/>
      <c r="E23" s="59"/>
      <c r="F23" s="59"/>
      <c r="G23" s="71"/>
      <c r="H23" s="44"/>
      <c r="I23" s="44"/>
      <c r="J23" s="44"/>
      <c r="K23" s="44"/>
      <c r="N23" s="155" t="str">
        <f t="shared" si="0"/>
        <v>Soybean</v>
      </c>
      <c r="O23" s="69">
        <v>0</v>
      </c>
      <c r="P23" s="70">
        <v>0</v>
      </c>
      <c r="Q23" s="70">
        <v>0</v>
      </c>
      <c r="R23" s="70">
        <v>0</v>
      </c>
      <c r="S23" s="177">
        <v>0</v>
      </c>
      <c r="T23" s="220">
        <f>IF($G$26&lt;=0,0,25)</f>
        <v>25</v>
      </c>
      <c r="U23" s="220">
        <f>IF($G$27&lt;=0,0,100)</f>
        <v>100</v>
      </c>
      <c r="V23" s="220">
        <f>IF($G$28&lt;=0,0,100)</f>
        <v>0</v>
      </c>
      <c r="W23" s="220">
        <f>IF($G$29&lt;=0,0,50)</f>
        <v>50</v>
      </c>
      <c r="X23" s="218">
        <f t="shared" si="1"/>
        <v>200</v>
      </c>
      <c r="Y23" s="212">
        <v>70</v>
      </c>
      <c r="Z23" s="213">
        <v>50</v>
      </c>
      <c r="AA23" s="209">
        <v>50</v>
      </c>
      <c r="AB23" s="210">
        <v>5</v>
      </c>
      <c r="AJ23" s="44"/>
      <c r="AK23" s="44"/>
    </row>
    <row r="24" spans="1:37" ht="18" x14ac:dyDescent="0.4">
      <c r="A24" s="44"/>
      <c r="B24" s="240" t="s">
        <v>8</v>
      </c>
      <c r="C24" s="241"/>
      <c r="D24" s="241"/>
      <c r="E24" s="241"/>
      <c r="F24" s="241"/>
      <c r="G24" s="242"/>
      <c r="H24" s="44"/>
      <c r="I24" s="44"/>
      <c r="J24" s="44"/>
      <c r="K24" s="44"/>
      <c r="N24" s="155" t="str">
        <f t="shared" si="0"/>
        <v>Pearl millet</v>
      </c>
      <c r="O24" s="174">
        <v>0</v>
      </c>
      <c r="P24" s="176">
        <v>0</v>
      </c>
      <c r="Q24" s="176">
        <v>0</v>
      </c>
      <c r="R24" s="176">
        <v>0</v>
      </c>
      <c r="S24" s="175">
        <v>0</v>
      </c>
      <c r="T24" s="221">
        <f>IF($G$26&lt;=0,0,100)</f>
        <v>100</v>
      </c>
      <c r="U24" s="221">
        <f>IF($G$27&lt;=0,0,100)</f>
        <v>100</v>
      </c>
      <c r="V24" s="221">
        <f>IF($G$28&lt;=0,0,100)</f>
        <v>0</v>
      </c>
      <c r="W24" s="221">
        <f>IF($G$29&lt;=0,0,50)</f>
        <v>50</v>
      </c>
      <c r="X24" s="218">
        <f t="shared" si="1"/>
        <v>200</v>
      </c>
      <c r="Y24" s="214">
        <v>70</v>
      </c>
      <c r="Z24" s="215">
        <v>50</v>
      </c>
      <c r="AA24" s="215">
        <v>50</v>
      </c>
      <c r="AB24" s="210">
        <v>5</v>
      </c>
      <c r="AJ24" s="44"/>
      <c r="AK24" s="44"/>
    </row>
    <row r="25" spans="1:37" ht="41.25" customHeight="1" x14ac:dyDescent="0.3">
      <c r="A25" s="44"/>
      <c r="B25" s="40" t="s">
        <v>9</v>
      </c>
      <c r="C25" s="20" t="s">
        <v>70</v>
      </c>
      <c r="D25" s="21" t="s">
        <v>74</v>
      </c>
      <c r="E25" s="20" t="s">
        <v>75</v>
      </c>
      <c r="F25" s="148" t="s">
        <v>101</v>
      </c>
      <c r="G25" s="22" t="s">
        <v>104</v>
      </c>
      <c r="H25" s="44"/>
      <c r="I25" s="44"/>
      <c r="J25" s="44"/>
      <c r="K25" s="44"/>
      <c r="AJ25" s="44"/>
      <c r="AK25" s="44"/>
    </row>
    <row r="26" spans="1:37" ht="17.5" x14ac:dyDescent="0.35">
      <c r="A26" s="44"/>
      <c r="B26" s="19" t="s">
        <v>10</v>
      </c>
      <c r="C26" s="31">
        <v>0.46</v>
      </c>
      <c r="D26" s="31">
        <v>0</v>
      </c>
      <c r="E26" s="32">
        <v>0</v>
      </c>
      <c r="F26" s="149">
        <v>0</v>
      </c>
      <c r="G26" s="99">
        <v>100</v>
      </c>
      <c r="H26" s="44"/>
      <c r="I26" s="44"/>
      <c r="J26" s="44"/>
      <c r="K26" s="44"/>
      <c r="AJ26" s="44"/>
      <c r="AK26" s="44"/>
    </row>
    <row r="27" spans="1:37" ht="15" customHeight="1" x14ac:dyDescent="0.35">
      <c r="A27" s="44"/>
      <c r="B27" s="6" t="s">
        <v>73</v>
      </c>
      <c r="C27" s="33">
        <v>0</v>
      </c>
      <c r="D27" s="33">
        <v>0</v>
      </c>
      <c r="E27" s="34">
        <v>0</v>
      </c>
      <c r="F27" s="150">
        <v>0</v>
      </c>
      <c r="G27" s="35">
        <v>150</v>
      </c>
      <c r="H27" s="44"/>
      <c r="I27" s="44"/>
      <c r="J27" s="44"/>
      <c r="K27" s="44"/>
      <c r="AJ27" s="44"/>
      <c r="AK27" s="44"/>
    </row>
    <row r="28" spans="1:37" ht="15" customHeight="1" x14ac:dyDescent="0.35">
      <c r="A28" s="44"/>
      <c r="B28" s="6" t="s">
        <v>72</v>
      </c>
      <c r="C28" s="33">
        <v>0.18</v>
      </c>
      <c r="D28" s="33">
        <v>0.46</v>
      </c>
      <c r="E28" s="34">
        <v>0</v>
      </c>
      <c r="F28" s="150">
        <v>0</v>
      </c>
      <c r="G28" s="35">
        <v>0</v>
      </c>
      <c r="H28" s="44"/>
      <c r="I28" s="44"/>
      <c r="J28" s="44"/>
      <c r="K28" s="44"/>
      <c r="AJ28" s="44"/>
      <c r="AK28" s="44"/>
    </row>
    <row r="29" spans="1:37" ht="15" customHeight="1" x14ac:dyDescent="0.35">
      <c r="A29" s="44"/>
      <c r="B29" s="6" t="s">
        <v>71</v>
      </c>
      <c r="C29" s="33">
        <v>0</v>
      </c>
      <c r="D29" s="33">
        <v>0</v>
      </c>
      <c r="E29" s="34">
        <v>0.6</v>
      </c>
      <c r="F29" s="150">
        <v>0</v>
      </c>
      <c r="G29" s="35">
        <v>150</v>
      </c>
      <c r="H29" s="44"/>
      <c r="I29" s="44"/>
      <c r="J29" s="44"/>
      <c r="K29" s="44"/>
      <c r="AJ29" s="44"/>
      <c r="AK29" s="44"/>
    </row>
    <row r="30" spans="1:37" ht="17.5" x14ac:dyDescent="0.35">
      <c r="A30" s="44"/>
      <c r="B30" s="151" t="s">
        <v>142</v>
      </c>
      <c r="C30" s="152">
        <v>0</v>
      </c>
      <c r="D30" s="152">
        <v>0</v>
      </c>
      <c r="E30" s="152">
        <v>0</v>
      </c>
      <c r="F30" s="152">
        <v>0.123</v>
      </c>
      <c r="G30" s="153">
        <v>600</v>
      </c>
      <c r="H30" s="222"/>
      <c r="I30" s="44"/>
      <c r="J30" s="44"/>
      <c r="K30" s="44"/>
      <c r="L30" s="225" t="s">
        <v>34</v>
      </c>
      <c r="M30" s="226"/>
      <c r="N30" s="227"/>
      <c r="O30" s="235" t="s">
        <v>81</v>
      </c>
      <c r="P30" s="236"/>
      <c r="Q30" s="236"/>
      <c r="R30" s="236"/>
      <c r="S30" s="237"/>
      <c r="T30" s="228">
        <v>0</v>
      </c>
      <c r="U30" s="228"/>
      <c r="V30" s="228"/>
      <c r="W30" s="228"/>
      <c r="X30" s="228"/>
      <c r="Y30" s="228"/>
      <c r="Z30" s="228"/>
      <c r="AA30" s="228"/>
      <c r="AB30" s="228"/>
      <c r="AC30" s="228" t="s">
        <v>63</v>
      </c>
      <c r="AD30" s="228"/>
      <c r="AE30" s="228"/>
      <c r="AF30" s="228"/>
      <c r="AG30" s="72"/>
      <c r="AH30" s="72"/>
      <c r="AI30" s="72"/>
      <c r="AJ30" s="44"/>
      <c r="AK30" s="44"/>
    </row>
    <row r="31" spans="1:37" ht="16.5" customHeight="1" x14ac:dyDescent="0.3">
      <c r="A31" s="44"/>
      <c r="B31" s="71"/>
      <c r="C31" s="71"/>
      <c r="D31" s="71"/>
      <c r="E31" s="71"/>
      <c r="F31" s="71"/>
      <c r="G31" s="71"/>
      <c r="H31" s="44"/>
      <c r="I31" s="44"/>
      <c r="J31" s="44"/>
      <c r="K31" s="44"/>
      <c r="L31" s="73" t="s">
        <v>6</v>
      </c>
      <c r="M31" s="74" t="s">
        <v>24</v>
      </c>
      <c r="N31" s="51" t="s">
        <v>4</v>
      </c>
      <c r="O31" s="75">
        <v>0</v>
      </c>
      <c r="P31" s="76">
        <v>0</v>
      </c>
      <c r="Q31" s="76">
        <v>0</v>
      </c>
      <c r="R31" s="76">
        <v>0</v>
      </c>
      <c r="S31" s="77">
        <v>0</v>
      </c>
      <c r="T31" s="74" t="s">
        <v>37</v>
      </c>
      <c r="U31" s="74" t="s">
        <v>38</v>
      </c>
      <c r="V31" s="74" t="s">
        <v>39</v>
      </c>
      <c r="W31" s="74" t="s">
        <v>40</v>
      </c>
      <c r="X31" s="74" t="s">
        <v>41</v>
      </c>
      <c r="Y31" s="126" t="str">
        <f>P13&amp; " kg (N)"</f>
        <v>NPK kg (N)</v>
      </c>
      <c r="Z31" s="126" t="str">
        <f>P13&amp;" kg (P)"</f>
        <v>NPK kg (P)</v>
      </c>
      <c r="AA31" s="126" t="str">
        <f>P13&amp;" kg (K)"</f>
        <v>NPK kg (K)</v>
      </c>
      <c r="AB31" s="134" t="s">
        <v>103</v>
      </c>
      <c r="AC31" s="126" t="s">
        <v>61</v>
      </c>
      <c r="AD31" s="74" t="s">
        <v>62</v>
      </c>
      <c r="AE31" s="132" t="s">
        <v>64</v>
      </c>
      <c r="AF31" s="134" t="s">
        <v>102</v>
      </c>
      <c r="AG31" s="66"/>
      <c r="AH31" s="66"/>
      <c r="AI31" s="66"/>
      <c r="AJ31" s="44"/>
      <c r="AK31" s="44"/>
    </row>
    <row r="32" spans="1:37" ht="19.5" customHeight="1" x14ac:dyDescent="0.35">
      <c r="A32" s="44"/>
      <c r="B32" s="71"/>
      <c r="C32" s="71"/>
      <c r="D32" s="71"/>
      <c r="E32" s="71"/>
      <c r="F32" s="71"/>
      <c r="G32" s="71"/>
      <c r="H32" s="44"/>
      <c r="I32" s="44"/>
      <c r="J32" s="44"/>
      <c r="K32" s="44"/>
      <c r="L32" s="155" t="str">
        <f t="shared" ref="L32:M38" si="2">B16</f>
        <v xml:space="preserve">Maize </v>
      </c>
      <c r="M32" s="51">
        <f t="shared" si="2"/>
        <v>2</v>
      </c>
      <c r="N32" s="48">
        <f t="shared" ref="N32:N38" si="3">IF(D16&lt;=0,0,D16)</f>
        <v>0.75</v>
      </c>
      <c r="O32" s="78">
        <v>150</v>
      </c>
      <c r="P32" s="79">
        <v>0</v>
      </c>
      <c r="Q32" s="79">
        <v>0</v>
      </c>
      <c r="R32" s="79">
        <v>0</v>
      </c>
      <c r="S32" s="80">
        <v>10.478010614525832</v>
      </c>
      <c r="T32" s="81">
        <f t="shared" ref="T32:T38" si="4">IF(M32&lt;=0,0,O32*$Q$9)</f>
        <v>69</v>
      </c>
      <c r="U32" s="82">
        <f t="shared" ref="U32:U38" si="5">IF(M32&lt;=0,0,P32*$R$10)</f>
        <v>0</v>
      </c>
      <c r="V32" s="82">
        <f t="shared" ref="V32:V38" si="6">IF(M32&lt;=0,0,Q32*$Q$11)</f>
        <v>0</v>
      </c>
      <c r="W32" s="82">
        <f t="shared" ref="W32:W38" si="7">IF(M32&lt;=0,0,Q32*$R$11)</f>
        <v>0</v>
      </c>
      <c r="X32" s="82">
        <f t="shared" ref="X32:X38" si="8">IF(M32&lt;=0,0,R32*$S$12)</f>
        <v>0</v>
      </c>
      <c r="Y32" s="82">
        <f t="shared" ref="Y32:Y38" si="9">IF(OR(M32&lt;=0,$C$30=0,$C$30="%"),0,S32*$Q$13)</f>
        <v>0</v>
      </c>
      <c r="Z32" s="82">
        <f t="shared" ref="Z32:Z38" si="10">IF(OR(M32&lt;=0,$D$30=0,$D$30="%"),0,S32*$R$13)</f>
        <v>0</v>
      </c>
      <c r="AA32" s="82">
        <f t="shared" ref="AA32:AA38" si="11">IF(OR(M32&lt;=0,$E$30=0,$E$30="%"),0,S32*$S$13)</f>
        <v>0</v>
      </c>
      <c r="AB32" s="135">
        <f t="shared" ref="AB32:AB38" si="12">IF(M32&lt;=0,0,S32*$T$13)</f>
        <v>1.2887953055866774</v>
      </c>
      <c r="AC32" s="122">
        <f>T32+V32+Y32</f>
        <v>69</v>
      </c>
      <c r="AD32" s="123">
        <f>U32+W32+Z32</f>
        <v>0</v>
      </c>
      <c r="AE32" s="133">
        <f>X32+AA32</f>
        <v>0</v>
      </c>
      <c r="AF32" s="139">
        <f>AB32</f>
        <v>1.2887953055866774</v>
      </c>
      <c r="AG32" s="83"/>
      <c r="AH32" s="83"/>
      <c r="AI32" s="83"/>
      <c r="AJ32" s="44"/>
      <c r="AK32" s="44"/>
    </row>
    <row r="33" spans="1:37" ht="19.5" customHeight="1" x14ac:dyDescent="0.4">
      <c r="A33" s="44"/>
      <c r="B33" s="240" t="s">
        <v>11</v>
      </c>
      <c r="C33" s="242"/>
      <c r="D33" s="71"/>
      <c r="E33" s="71"/>
      <c r="F33" s="71"/>
      <c r="G33" s="71"/>
      <c r="H33" s="44"/>
      <c r="I33" s="44"/>
      <c r="J33" s="44"/>
      <c r="K33" s="44"/>
      <c r="L33" s="155" t="str">
        <f t="shared" si="2"/>
        <v>Rice Upland</v>
      </c>
      <c r="M33" s="54">
        <f t="shared" si="2"/>
        <v>2</v>
      </c>
      <c r="N33" s="84">
        <f t="shared" si="3"/>
        <v>1.22</v>
      </c>
      <c r="O33" s="78">
        <v>150</v>
      </c>
      <c r="P33" s="79">
        <v>0</v>
      </c>
      <c r="Q33" s="79">
        <v>0</v>
      </c>
      <c r="R33" s="79">
        <v>32.81558539882495</v>
      </c>
      <c r="S33" s="80">
        <v>0</v>
      </c>
      <c r="T33" s="81">
        <f t="shared" si="4"/>
        <v>69</v>
      </c>
      <c r="U33" s="82">
        <f t="shared" si="5"/>
        <v>0</v>
      </c>
      <c r="V33" s="82">
        <f t="shared" si="6"/>
        <v>0</v>
      </c>
      <c r="W33" s="82">
        <f t="shared" si="7"/>
        <v>0</v>
      </c>
      <c r="X33" s="82">
        <f t="shared" si="8"/>
        <v>16.342161528614824</v>
      </c>
      <c r="Y33" s="82">
        <f t="shared" si="9"/>
        <v>0</v>
      </c>
      <c r="Z33" s="82">
        <f t="shared" si="10"/>
        <v>0</v>
      </c>
      <c r="AA33" s="82">
        <f t="shared" si="11"/>
        <v>0</v>
      </c>
      <c r="AB33" s="136">
        <f t="shared" si="12"/>
        <v>0</v>
      </c>
      <c r="AC33" s="122">
        <f t="shared" ref="AC33:AC38" si="13">T33+V33+Y33</f>
        <v>69</v>
      </c>
      <c r="AD33" s="123">
        <f t="shared" ref="AD33:AD38" si="14">U33+W33+Z33</f>
        <v>0</v>
      </c>
      <c r="AE33" s="133">
        <f t="shared" ref="AE33:AE38" si="15">X33+AA33</f>
        <v>16.342161528614824</v>
      </c>
      <c r="AF33" s="139">
        <f t="shared" ref="AF33:AF38" si="16">AB33</f>
        <v>0</v>
      </c>
      <c r="AG33" s="83"/>
      <c r="AH33" s="83"/>
      <c r="AI33" s="83"/>
      <c r="AJ33" s="44"/>
      <c r="AK33" s="44"/>
    </row>
    <row r="34" spans="1:37" ht="35" x14ac:dyDescent="0.35">
      <c r="A34" s="44"/>
      <c r="B34" s="10" t="s">
        <v>12</v>
      </c>
      <c r="C34" s="100">
        <v>1000000</v>
      </c>
      <c r="D34" s="27"/>
      <c r="E34" s="18"/>
      <c r="F34" s="18"/>
      <c r="G34" s="71"/>
      <c r="H34" s="44"/>
      <c r="I34" s="44"/>
      <c r="J34" s="44"/>
      <c r="K34" s="44"/>
      <c r="L34" s="155" t="str">
        <f t="shared" si="2"/>
        <v>Sorghum</v>
      </c>
      <c r="M34" s="85">
        <f t="shared" si="2"/>
        <v>1</v>
      </c>
      <c r="N34" s="110">
        <f t="shared" si="3"/>
        <v>1.52</v>
      </c>
      <c r="O34" s="86">
        <v>50</v>
      </c>
      <c r="P34" s="87">
        <v>0</v>
      </c>
      <c r="Q34" s="87">
        <v>0</v>
      </c>
      <c r="R34" s="87">
        <v>21.386375527699851</v>
      </c>
      <c r="S34" s="87">
        <v>0.84969366038503069</v>
      </c>
      <c r="T34" s="105">
        <f t="shared" si="4"/>
        <v>23</v>
      </c>
      <c r="U34" s="106">
        <f t="shared" si="5"/>
        <v>0</v>
      </c>
      <c r="V34" s="106">
        <f t="shared" si="6"/>
        <v>0</v>
      </c>
      <c r="W34" s="106">
        <f t="shared" si="7"/>
        <v>0</v>
      </c>
      <c r="X34" s="106">
        <f t="shared" si="8"/>
        <v>10.650415012794525</v>
      </c>
      <c r="Y34" s="106">
        <f t="shared" si="9"/>
        <v>0</v>
      </c>
      <c r="Z34" s="106">
        <f t="shared" si="10"/>
        <v>0</v>
      </c>
      <c r="AA34" s="106">
        <f t="shared" si="11"/>
        <v>0</v>
      </c>
      <c r="AB34" s="136">
        <f t="shared" si="12"/>
        <v>0.10451232022735878</v>
      </c>
      <c r="AC34" s="122">
        <f t="shared" si="13"/>
        <v>23</v>
      </c>
      <c r="AD34" s="123">
        <f t="shared" si="14"/>
        <v>0</v>
      </c>
      <c r="AE34" s="133">
        <f t="shared" si="15"/>
        <v>10.650415012794525</v>
      </c>
      <c r="AF34" s="139">
        <f t="shared" si="16"/>
        <v>0.10451232022735878</v>
      </c>
      <c r="AG34" s="83"/>
      <c r="AH34" s="83"/>
      <c r="AI34" s="83"/>
      <c r="AJ34" s="44"/>
      <c r="AK34" s="44"/>
    </row>
    <row r="35" spans="1:37" ht="17.5" x14ac:dyDescent="0.35">
      <c r="A35" s="44"/>
      <c r="B35" s="247"/>
      <c r="C35" s="247"/>
      <c r="D35" s="36"/>
      <c r="E35" s="59"/>
      <c r="F35" s="59"/>
      <c r="G35" s="71"/>
      <c r="H35" s="44"/>
      <c r="I35" s="44"/>
      <c r="J35" s="44"/>
      <c r="K35" s="44"/>
      <c r="L35" s="155" t="str">
        <f t="shared" si="2"/>
        <v>Rice Lowland</v>
      </c>
      <c r="M35" s="85">
        <f t="shared" si="2"/>
        <v>1</v>
      </c>
      <c r="N35" s="84">
        <f t="shared" si="3"/>
        <v>1.22</v>
      </c>
      <c r="O35" s="86">
        <v>92.238355502583545</v>
      </c>
      <c r="P35" s="87">
        <v>0</v>
      </c>
      <c r="Q35" s="87">
        <v>0</v>
      </c>
      <c r="R35" s="87">
        <v>12.58415563233687</v>
      </c>
      <c r="S35" s="79">
        <v>0</v>
      </c>
      <c r="T35" s="81">
        <f t="shared" si="4"/>
        <v>42.429643531188432</v>
      </c>
      <c r="U35" s="82">
        <f t="shared" si="5"/>
        <v>0</v>
      </c>
      <c r="V35" s="82">
        <f t="shared" si="6"/>
        <v>0</v>
      </c>
      <c r="W35" s="82">
        <f t="shared" si="7"/>
        <v>0</v>
      </c>
      <c r="X35" s="82">
        <f t="shared" si="8"/>
        <v>6.2669095049037606</v>
      </c>
      <c r="Y35" s="82">
        <f t="shared" si="9"/>
        <v>0</v>
      </c>
      <c r="Z35" s="82">
        <f t="shared" si="10"/>
        <v>0</v>
      </c>
      <c r="AA35" s="82">
        <f t="shared" si="11"/>
        <v>0</v>
      </c>
      <c r="AB35" s="136">
        <f t="shared" si="12"/>
        <v>0</v>
      </c>
      <c r="AC35" s="122">
        <f t="shared" si="13"/>
        <v>42.429643531188432</v>
      </c>
      <c r="AD35" s="123">
        <f t="shared" si="14"/>
        <v>0</v>
      </c>
      <c r="AE35" s="133">
        <f t="shared" si="15"/>
        <v>6.2669095049037606</v>
      </c>
      <c r="AF35" s="139">
        <f t="shared" si="16"/>
        <v>0</v>
      </c>
      <c r="AG35" s="83"/>
      <c r="AH35" s="83"/>
      <c r="AI35" s="83"/>
      <c r="AJ35" s="44"/>
      <c r="AK35" s="44"/>
    </row>
    <row r="36" spans="1:37" ht="17.5" x14ac:dyDescent="0.35">
      <c r="A36" s="44"/>
      <c r="B36" s="14"/>
      <c r="C36" s="88"/>
      <c r="D36" s="15"/>
      <c r="E36" s="59"/>
      <c r="F36" s="59"/>
      <c r="G36" s="71"/>
      <c r="H36" s="44"/>
      <c r="I36" s="44"/>
      <c r="J36" s="44"/>
      <c r="K36" s="44"/>
      <c r="L36" s="155" t="str">
        <f t="shared" si="2"/>
        <v>Cowpea</v>
      </c>
      <c r="M36" s="54">
        <f t="shared" si="2"/>
        <v>1</v>
      </c>
      <c r="N36" s="84">
        <f t="shared" si="3"/>
        <v>2.4300000000000002</v>
      </c>
      <c r="O36" s="78">
        <v>0</v>
      </c>
      <c r="P36" s="79">
        <v>0</v>
      </c>
      <c r="Q36" s="79">
        <v>100</v>
      </c>
      <c r="R36" s="79">
        <v>19.775466646821549</v>
      </c>
      <c r="S36" s="79">
        <v>0</v>
      </c>
      <c r="T36" s="81">
        <f t="shared" si="4"/>
        <v>0</v>
      </c>
      <c r="U36" s="82">
        <f t="shared" si="5"/>
        <v>0</v>
      </c>
      <c r="V36" s="82">
        <f t="shared" si="6"/>
        <v>18</v>
      </c>
      <c r="W36" s="82">
        <f t="shared" si="7"/>
        <v>20.102</v>
      </c>
      <c r="X36" s="82">
        <f t="shared" si="8"/>
        <v>9.848182390117131</v>
      </c>
      <c r="Y36" s="82">
        <f t="shared" si="9"/>
        <v>0</v>
      </c>
      <c r="Z36" s="82">
        <f t="shared" si="10"/>
        <v>0</v>
      </c>
      <c r="AA36" s="82">
        <f t="shared" si="11"/>
        <v>0</v>
      </c>
      <c r="AB36" s="136">
        <f t="shared" si="12"/>
        <v>0</v>
      </c>
      <c r="AC36" s="122">
        <f t="shared" si="13"/>
        <v>18</v>
      </c>
      <c r="AD36" s="123">
        <f t="shared" si="14"/>
        <v>20.102</v>
      </c>
      <c r="AE36" s="133">
        <f t="shared" si="15"/>
        <v>9.848182390117131</v>
      </c>
      <c r="AF36" s="139">
        <f t="shared" si="16"/>
        <v>0</v>
      </c>
      <c r="AG36" s="83"/>
      <c r="AH36" s="83"/>
      <c r="AI36" s="83"/>
      <c r="AJ36" s="44"/>
      <c r="AK36" s="44"/>
    </row>
    <row r="37" spans="1:37" ht="17.5" x14ac:dyDescent="0.35">
      <c r="A37" s="44"/>
      <c r="B37" s="88"/>
      <c r="C37" s="14"/>
      <c r="D37" s="14"/>
      <c r="E37" s="59"/>
      <c r="F37" s="59"/>
      <c r="G37" s="71"/>
      <c r="H37" s="44"/>
      <c r="I37" s="44"/>
      <c r="J37" s="44"/>
      <c r="K37" s="44"/>
      <c r="L37" s="155" t="str">
        <f t="shared" si="2"/>
        <v>Soybean</v>
      </c>
      <c r="M37" s="62">
        <f t="shared" si="2"/>
        <v>1</v>
      </c>
      <c r="N37" s="90">
        <f t="shared" si="3"/>
        <v>1.77</v>
      </c>
      <c r="O37" s="78">
        <v>0</v>
      </c>
      <c r="P37" s="79">
        <v>0</v>
      </c>
      <c r="Q37" s="79">
        <v>0</v>
      </c>
      <c r="R37" s="79">
        <v>0</v>
      </c>
      <c r="S37" s="79">
        <v>15.523342340500509</v>
      </c>
      <c r="T37" s="81">
        <f t="shared" si="4"/>
        <v>0</v>
      </c>
      <c r="U37" s="82">
        <f t="shared" si="5"/>
        <v>0</v>
      </c>
      <c r="V37" s="82">
        <f t="shared" si="6"/>
        <v>0</v>
      </c>
      <c r="W37" s="82">
        <f t="shared" si="7"/>
        <v>0</v>
      </c>
      <c r="X37" s="82">
        <f t="shared" si="8"/>
        <v>0</v>
      </c>
      <c r="Y37" s="82">
        <f t="shared" si="9"/>
        <v>0</v>
      </c>
      <c r="Z37" s="82">
        <f t="shared" si="10"/>
        <v>0</v>
      </c>
      <c r="AA37" s="82">
        <f t="shared" si="11"/>
        <v>0</v>
      </c>
      <c r="AB37" s="137">
        <f t="shared" si="12"/>
        <v>1.9093711078815625</v>
      </c>
      <c r="AC37" s="122">
        <f t="shared" si="13"/>
        <v>0</v>
      </c>
      <c r="AD37" s="123">
        <f t="shared" si="14"/>
        <v>0</v>
      </c>
      <c r="AE37" s="133">
        <f t="shared" si="15"/>
        <v>0</v>
      </c>
      <c r="AF37" s="139">
        <f t="shared" si="16"/>
        <v>1.9093711078815625</v>
      </c>
      <c r="AG37" s="83"/>
      <c r="AH37" s="83"/>
      <c r="AI37" s="83"/>
      <c r="AJ37" s="44"/>
      <c r="AK37" s="44"/>
    </row>
    <row r="38" spans="1:37" ht="17.5" x14ac:dyDescent="0.35">
      <c r="A38" s="44"/>
      <c r="B38" s="14"/>
      <c r="C38" s="14"/>
      <c r="D38" s="88"/>
      <c r="E38" s="59"/>
      <c r="F38" s="59"/>
      <c r="G38" s="71"/>
      <c r="H38" s="44"/>
      <c r="I38" s="44"/>
      <c r="J38" s="44"/>
      <c r="K38" s="44"/>
      <c r="L38" s="155" t="str">
        <f t="shared" si="2"/>
        <v>Pearl millet</v>
      </c>
      <c r="M38" s="74">
        <f t="shared" si="2"/>
        <v>1</v>
      </c>
      <c r="N38" s="74">
        <f t="shared" si="3"/>
        <v>1.69</v>
      </c>
      <c r="O38" s="120">
        <v>33.518674452442866</v>
      </c>
      <c r="P38" s="120">
        <v>0</v>
      </c>
      <c r="Q38" s="120">
        <v>0</v>
      </c>
      <c r="R38" s="120">
        <v>0</v>
      </c>
      <c r="S38" s="120">
        <v>0</v>
      </c>
      <c r="T38" s="120">
        <f t="shared" si="4"/>
        <v>15.418590248123719</v>
      </c>
      <c r="U38" s="120">
        <f t="shared" si="5"/>
        <v>0</v>
      </c>
      <c r="V38" s="120">
        <f t="shared" si="6"/>
        <v>0</v>
      </c>
      <c r="W38" s="120">
        <f t="shared" si="7"/>
        <v>0</v>
      </c>
      <c r="X38" s="120">
        <f t="shared" si="8"/>
        <v>0</v>
      </c>
      <c r="Y38" s="120">
        <f t="shared" si="9"/>
        <v>0</v>
      </c>
      <c r="Z38" s="120">
        <f t="shared" si="10"/>
        <v>0</v>
      </c>
      <c r="AA38" s="120">
        <f t="shared" si="11"/>
        <v>0</v>
      </c>
      <c r="AB38" s="135">
        <f t="shared" si="12"/>
        <v>0</v>
      </c>
      <c r="AC38" s="122">
        <f t="shared" si="13"/>
        <v>15.418590248123719</v>
      </c>
      <c r="AD38" s="123">
        <f t="shared" si="14"/>
        <v>0</v>
      </c>
      <c r="AE38" s="133">
        <f t="shared" si="15"/>
        <v>0</v>
      </c>
      <c r="AF38" s="139">
        <f t="shared" si="16"/>
        <v>0</v>
      </c>
      <c r="AG38" s="70"/>
      <c r="AH38" s="70"/>
      <c r="AI38" s="70"/>
      <c r="AJ38" s="44"/>
      <c r="AK38" s="44"/>
    </row>
    <row r="39" spans="1:37" ht="17.5" x14ac:dyDescent="0.35">
      <c r="A39" s="44"/>
      <c r="B39" s="14"/>
      <c r="C39" s="14"/>
      <c r="D39" s="14"/>
      <c r="E39" s="59"/>
      <c r="F39" s="59"/>
      <c r="G39" s="71"/>
      <c r="H39" s="44"/>
      <c r="I39" s="44"/>
      <c r="J39" s="44"/>
      <c r="K39" s="44"/>
      <c r="L39" s="156" t="s">
        <v>35</v>
      </c>
      <c r="M39" s="73"/>
      <c r="N39" s="74"/>
      <c r="O39" s="120"/>
      <c r="P39" s="120"/>
      <c r="Q39" s="120"/>
      <c r="R39" s="120"/>
      <c r="S39" s="120"/>
      <c r="T39" s="124"/>
      <c r="U39" s="124"/>
      <c r="V39" s="124"/>
      <c r="W39" s="124"/>
      <c r="X39" s="124"/>
      <c r="Y39" s="124"/>
      <c r="Z39" s="124"/>
      <c r="AA39" s="124"/>
      <c r="AB39" s="138"/>
      <c r="AC39" s="125"/>
      <c r="AD39" s="125"/>
      <c r="AE39" s="125"/>
      <c r="AF39" s="138"/>
      <c r="AJ39" s="44"/>
      <c r="AK39" s="44"/>
    </row>
    <row r="40" spans="1:37" ht="17.5" x14ac:dyDescent="0.35">
      <c r="A40" s="44"/>
      <c r="B40" s="14"/>
      <c r="C40" s="14"/>
      <c r="D40" s="14"/>
      <c r="E40" s="59"/>
      <c r="F40" s="59"/>
      <c r="G40" s="44"/>
      <c r="H40" s="44"/>
      <c r="I40" s="44"/>
      <c r="J40" s="44"/>
      <c r="K40" s="44"/>
      <c r="L40" s="73"/>
      <c r="M40" s="73"/>
      <c r="N40" s="73" t="s">
        <v>100</v>
      </c>
      <c r="O40" s="120">
        <f>$M$32*O32+$M$33*O33+$M$34*O34+$M$35*O35+$M$36*O36+$M$37*O37+O38*$M$38</f>
        <v>775.75702995502638</v>
      </c>
      <c r="P40" s="120">
        <f>$M$32*P32+$M$33*P33+$M$34*P34+$M$35*P35+$M$36*P36+$M$37*P37+P38*$M$38</f>
        <v>0</v>
      </c>
      <c r="Q40" s="120">
        <f>$M$32*Q32+$M$33*Q33+$M$34*Q34+$M$35*Q35+$M$36*Q36+$M$37*Q37+Q38*$M$38</f>
        <v>100</v>
      </c>
      <c r="R40" s="120">
        <f>$M$32*R32+$M$33*R33+$M$34*R34+$M$35*R35+$M$36*R36+$M$37*R37+R38*$M$38</f>
        <v>119.37716860450817</v>
      </c>
      <c r="S40" s="120">
        <f>$M$32*S32+$M$33*S33+$M$34*S34+$M$35*S35+$M$36*S36+$M$37*S37+S38*$M$38</f>
        <v>37.329057229937206</v>
      </c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J40" s="44"/>
      <c r="AK40" s="44"/>
    </row>
    <row r="41" spans="1:37" ht="18" x14ac:dyDescent="0.4">
      <c r="A41" s="44"/>
      <c r="B41" s="230" t="s">
        <v>69</v>
      </c>
      <c r="C41" s="248"/>
      <c r="D41" s="248"/>
      <c r="E41" s="248"/>
      <c r="F41" s="248"/>
      <c r="G41" s="248"/>
      <c r="H41" s="44"/>
      <c r="I41" s="44"/>
      <c r="J41" s="44"/>
      <c r="K41" s="44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J41" s="44"/>
      <c r="AK41" s="44"/>
    </row>
    <row r="42" spans="1:37" ht="18" x14ac:dyDescent="0.4">
      <c r="A42" s="44"/>
      <c r="B42" s="28"/>
      <c r="C42" s="254" t="s">
        <v>44</v>
      </c>
      <c r="D42" s="255"/>
      <c r="E42" s="255"/>
      <c r="F42" s="255"/>
      <c r="G42" s="255"/>
      <c r="H42" s="44"/>
      <c r="I42" s="44"/>
      <c r="J42" s="44"/>
      <c r="K42" s="44"/>
      <c r="AJ42" s="44"/>
      <c r="AK42" s="44"/>
    </row>
    <row r="43" spans="1:37" ht="18" x14ac:dyDescent="0.4">
      <c r="A43" s="44"/>
      <c r="B43" s="39" t="s">
        <v>6</v>
      </c>
      <c r="C43" s="38" t="s">
        <v>10</v>
      </c>
      <c r="D43" s="38" t="s">
        <v>13</v>
      </c>
      <c r="E43" s="38" t="s">
        <v>14</v>
      </c>
      <c r="F43" s="38" t="s">
        <v>15</v>
      </c>
      <c r="G43" s="38" t="str">
        <f>B30</f>
        <v>ZnSO4</v>
      </c>
      <c r="H43" s="44"/>
      <c r="I43" s="44"/>
      <c r="J43" s="44"/>
      <c r="K43" s="44"/>
      <c r="W43" s="63"/>
      <c r="X43" s="63"/>
      <c r="Y43" s="63"/>
      <c r="AJ43" s="44"/>
      <c r="AK43" s="44"/>
    </row>
    <row r="44" spans="1:37" ht="18" x14ac:dyDescent="0.35">
      <c r="A44" s="44"/>
      <c r="B44" s="39" t="str">
        <f t="shared" ref="B44:B50" si="17">B16</f>
        <v xml:space="preserve">Maize </v>
      </c>
      <c r="C44" s="8">
        <f>O32</f>
        <v>150</v>
      </c>
      <c r="D44" s="8">
        <f>P32</f>
        <v>0</v>
      </c>
      <c r="E44" s="8">
        <f>Q32</f>
        <v>0</v>
      </c>
      <c r="F44" s="8">
        <f>R32</f>
        <v>0</v>
      </c>
      <c r="G44" s="8">
        <f>S32</f>
        <v>10.478010614525832</v>
      </c>
      <c r="H44" s="44"/>
      <c r="I44" s="44"/>
      <c r="J44" s="44"/>
      <c r="K44" s="44"/>
      <c r="L44" s="45" t="s">
        <v>84</v>
      </c>
      <c r="N44" s="225" t="s">
        <v>50</v>
      </c>
      <c r="O44" s="226"/>
      <c r="P44" s="226"/>
      <c r="Q44" s="226"/>
      <c r="R44" s="226"/>
      <c r="S44" s="226"/>
      <c r="T44" s="226"/>
      <c r="U44" s="237"/>
      <c r="Y44" s="64"/>
      <c r="AJ44" s="44"/>
      <c r="AK44" s="44"/>
    </row>
    <row r="45" spans="1:37" ht="18" x14ac:dyDescent="0.35">
      <c r="A45" s="44"/>
      <c r="B45" s="39" t="str">
        <f t="shared" si="17"/>
        <v>Rice Upland</v>
      </c>
      <c r="C45" s="8">
        <f t="shared" ref="C45:E50" si="18">O33</f>
        <v>150</v>
      </c>
      <c r="D45" s="8">
        <f t="shared" si="18"/>
        <v>0</v>
      </c>
      <c r="E45" s="8">
        <f t="shared" si="18"/>
        <v>0</v>
      </c>
      <c r="F45" s="8">
        <f t="shared" ref="F45:F50" si="19">R33</f>
        <v>32.81558539882495</v>
      </c>
      <c r="G45" s="8">
        <f t="shared" ref="G45:G50" si="20">S33</f>
        <v>0</v>
      </c>
      <c r="H45" s="44"/>
      <c r="I45" s="44"/>
      <c r="J45" s="44"/>
      <c r="K45" s="44"/>
      <c r="N45" s="89" t="s">
        <v>6</v>
      </c>
      <c r="O45" s="54" t="s">
        <v>51</v>
      </c>
      <c r="P45" s="64" t="s">
        <v>52</v>
      </c>
      <c r="Q45" s="64" t="s">
        <v>53</v>
      </c>
      <c r="R45" s="64" t="s">
        <v>54</v>
      </c>
      <c r="S45" s="91" t="str">
        <f>P13</f>
        <v>NPK</v>
      </c>
      <c r="T45" s="58" t="s">
        <v>88</v>
      </c>
      <c r="U45" s="74" t="s">
        <v>11</v>
      </c>
      <c r="Y45" s="64"/>
      <c r="AJ45" s="44"/>
      <c r="AK45" s="44"/>
    </row>
    <row r="46" spans="1:37" ht="18" x14ac:dyDescent="0.35">
      <c r="A46" s="44"/>
      <c r="B46" s="39" t="str">
        <f t="shared" si="17"/>
        <v>Sorghum</v>
      </c>
      <c r="C46" s="8">
        <f t="shared" si="18"/>
        <v>50</v>
      </c>
      <c r="D46" s="8">
        <f t="shared" si="18"/>
        <v>0</v>
      </c>
      <c r="E46" s="8">
        <f t="shared" si="18"/>
        <v>0</v>
      </c>
      <c r="F46" s="8">
        <f t="shared" si="19"/>
        <v>21.386375527699851</v>
      </c>
      <c r="G46" s="8">
        <f t="shared" si="20"/>
        <v>0.84969366038503069</v>
      </c>
      <c r="H46" s="44"/>
      <c r="I46" s="44"/>
      <c r="J46" s="44"/>
      <c r="K46" s="44"/>
      <c r="L46" s="92"/>
      <c r="N46" s="155" t="str">
        <f t="shared" ref="N46:N52" si="21">B16</f>
        <v xml:space="preserve">Maize </v>
      </c>
      <c r="O46" s="67">
        <f>O32*$U$9</f>
        <v>300</v>
      </c>
      <c r="P46" s="68">
        <f>P32*$U$10</f>
        <v>0</v>
      </c>
      <c r="Q46" s="68">
        <f>Q32*$U$11</f>
        <v>0</v>
      </c>
      <c r="R46" s="68">
        <f>R32*$U$12</f>
        <v>0</v>
      </c>
      <c r="S46" s="68">
        <f>S32*$U$13</f>
        <v>125.73612737430999</v>
      </c>
      <c r="T46" s="107">
        <f t="shared" ref="T46:T52" si="22">SUM(O46:S46)*M32</f>
        <v>851.47225474862</v>
      </c>
      <c r="U46" s="249"/>
      <c r="Y46" s="64"/>
      <c r="AJ46" s="44"/>
      <c r="AK46" s="44"/>
    </row>
    <row r="47" spans="1:37" ht="15.75" customHeight="1" x14ac:dyDescent="0.35">
      <c r="A47" s="44"/>
      <c r="B47" s="39" t="str">
        <f t="shared" si="17"/>
        <v>Rice Lowland</v>
      </c>
      <c r="C47" s="8">
        <f t="shared" si="18"/>
        <v>92.238355502583545</v>
      </c>
      <c r="D47" s="8">
        <f t="shared" si="18"/>
        <v>0</v>
      </c>
      <c r="E47" s="8">
        <f t="shared" si="18"/>
        <v>0</v>
      </c>
      <c r="F47" s="8">
        <f t="shared" si="19"/>
        <v>12.58415563233687</v>
      </c>
      <c r="G47" s="8">
        <f t="shared" si="20"/>
        <v>0</v>
      </c>
      <c r="H47" s="44"/>
      <c r="I47" s="44"/>
      <c r="J47" s="44"/>
      <c r="K47" s="44"/>
      <c r="N47" s="155" t="str">
        <f t="shared" si="21"/>
        <v>Rice Upland</v>
      </c>
      <c r="O47" s="67">
        <f t="shared" ref="O47:O52" si="23">O33*$U$9</f>
        <v>300</v>
      </c>
      <c r="P47" s="68">
        <f t="shared" ref="P47:P52" si="24">P33*$U$10</f>
        <v>0</v>
      </c>
      <c r="Q47" s="68">
        <f t="shared" ref="Q47:Q52" si="25">Q33*$U$11</f>
        <v>0</v>
      </c>
      <c r="R47" s="68">
        <f t="shared" ref="R47:R52" si="26">R33*$U$12</f>
        <v>98.446756196474851</v>
      </c>
      <c r="S47" s="68">
        <f t="shared" ref="S47:S52" si="27">S33*$U$13</f>
        <v>0</v>
      </c>
      <c r="T47" s="108">
        <f t="shared" si="22"/>
        <v>796.89351239294967</v>
      </c>
      <c r="U47" s="250"/>
      <c r="AJ47" s="44"/>
      <c r="AK47" s="44"/>
    </row>
    <row r="48" spans="1:37" ht="18" x14ac:dyDescent="0.35">
      <c r="A48" s="44"/>
      <c r="B48" s="39" t="str">
        <f t="shared" si="17"/>
        <v>Cowpea</v>
      </c>
      <c r="C48" s="8">
        <f t="shared" si="18"/>
        <v>0</v>
      </c>
      <c r="D48" s="8">
        <f t="shared" si="18"/>
        <v>0</v>
      </c>
      <c r="E48" s="8">
        <f t="shared" si="18"/>
        <v>100</v>
      </c>
      <c r="F48" s="8">
        <f t="shared" si="19"/>
        <v>19.775466646821549</v>
      </c>
      <c r="G48" s="8">
        <f t="shared" si="20"/>
        <v>0</v>
      </c>
      <c r="H48" s="44"/>
      <c r="I48" s="44"/>
      <c r="J48" s="44"/>
      <c r="K48" s="44"/>
      <c r="N48" s="155" t="str">
        <f t="shared" si="21"/>
        <v>Sorghum</v>
      </c>
      <c r="O48" s="67">
        <f t="shared" si="23"/>
        <v>100</v>
      </c>
      <c r="P48" s="68">
        <f t="shared" si="24"/>
        <v>0</v>
      </c>
      <c r="Q48" s="68">
        <f t="shared" si="25"/>
        <v>0</v>
      </c>
      <c r="R48" s="68">
        <f t="shared" si="26"/>
        <v>64.15912658309955</v>
      </c>
      <c r="S48" s="68">
        <f t="shared" si="27"/>
        <v>10.196323924620369</v>
      </c>
      <c r="T48" s="108">
        <f t="shared" si="22"/>
        <v>174.35545050771992</v>
      </c>
      <c r="U48" s="250"/>
      <c r="AJ48" s="44"/>
      <c r="AK48" s="44"/>
    </row>
    <row r="49" spans="1:37" ht="18" x14ac:dyDescent="0.35">
      <c r="A49" s="44"/>
      <c r="B49" s="39" t="str">
        <f t="shared" si="17"/>
        <v>Soybean</v>
      </c>
      <c r="C49" s="8">
        <f t="shared" si="18"/>
        <v>0</v>
      </c>
      <c r="D49" s="8">
        <f t="shared" si="18"/>
        <v>0</v>
      </c>
      <c r="E49" s="8">
        <f t="shared" si="18"/>
        <v>0</v>
      </c>
      <c r="F49" s="8">
        <f t="shared" si="19"/>
        <v>0</v>
      </c>
      <c r="G49" s="8">
        <f t="shared" si="20"/>
        <v>15.523342340500509</v>
      </c>
      <c r="H49" s="44"/>
      <c r="I49" s="44"/>
      <c r="J49" s="44"/>
      <c r="K49" s="44"/>
      <c r="N49" s="155" t="str">
        <f t="shared" si="21"/>
        <v>Rice Lowland</v>
      </c>
      <c r="O49" s="67">
        <f t="shared" si="23"/>
        <v>184.47671100516709</v>
      </c>
      <c r="P49" s="68">
        <f t="shared" si="24"/>
        <v>0</v>
      </c>
      <c r="Q49" s="68">
        <f t="shared" si="25"/>
        <v>0</v>
      </c>
      <c r="R49" s="68">
        <f t="shared" si="26"/>
        <v>37.752466897010606</v>
      </c>
      <c r="S49" s="68">
        <f t="shared" si="27"/>
        <v>0</v>
      </c>
      <c r="T49" s="108">
        <f t="shared" si="22"/>
        <v>222.2291779021777</v>
      </c>
      <c r="U49" s="250"/>
      <c r="AJ49" s="44"/>
      <c r="AK49" s="44"/>
    </row>
    <row r="50" spans="1:37" ht="18" x14ac:dyDescent="0.35">
      <c r="A50" s="44"/>
      <c r="B50" s="39" t="str">
        <f t="shared" si="17"/>
        <v>Pearl millet</v>
      </c>
      <c r="C50" s="146">
        <f t="shared" si="18"/>
        <v>33.518674452442866</v>
      </c>
      <c r="D50" s="146">
        <f t="shared" si="18"/>
        <v>0</v>
      </c>
      <c r="E50" s="146">
        <f t="shared" si="18"/>
        <v>0</v>
      </c>
      <c r="F50" s="147">
        <f t="shared" si="19"/>
        <v>0</v>
      </c>
      <c r="G50" s="8">
        <f t="shared" si="20"/>
        <v>0</v>
      </c>
      <c r="H50" s="44"/>
      <c r="I50" s="44"/>
      <c r="J50" s="44"/>
      <c r="K50" s="44"/>
      <c r="N50" s="155" t="str">
        <f t="shared" si="21"/>
        <v>Cowpea</v>
      </c>
      <c r="O50" s="67">
        <f t="shared" si="23"/>
        <v>0</v>
      </c>
      <c r="P50" s="68">
        <f t="shared" si="24"/>
        <v>0</v>
      </c>
      <c r="Q50" s="68">
        <f t="shared" si="25"/>
        <v>0</v>
      </c>
      <c r="R50" s="68">
        <f t="shared" si="26"/>
        <v>59.326399940464647</v>
      </c>
      <c r="S50" s="68">
        <f t="shared" si="27"/>
        <v>0</v>
      </c>
      <c r="T50" s="108">
        <f t="shared" si="22"/>
        <v>59.326399940464647</v>
      </c>
      <c r="U50" s="250"/>
      <c r="W50" s="243"/>
      <c r="X50" s="243"/>
      <c r="AJ50" s="44"/>
      <c r="AK50" s="44"/>
    </row>
    <row r="51" spans="1:37" ht="18" x14ac:dyDescent="0.4">
      <c r="A51" s="44"/>
      <c r="B51" s="37" t="s">
        <v>93</v>
      </c>
      <c r="C51" s="207">
        <f>O40</f>
        <v>775.75702995502638</v>
      </c>
      <c r="D51" s="207">
        <f>P40</f>
        <v>0</v>
      </c>
      <c r="E51" s="207">
        <f>Q40</f>
        <v>100</v>
      </c>
      <c r="F51" s="207">
        <f>R40</f>
        <v>119.37716860450817</v>
      </c>
      <c r="G51" s="207">
        <f>S40</f>
        <v>37.329057229937206</v>
      </c>
      <c r="H51" s="16"/>
      <c r="I51" s="44"/>
      <c r="J51" s="44"/>
      <c r="K51" s="44"/>
      <c r="N51" s="155" t="str">
        <f t="shared" si="21"/>
        <v>Soybean</v>
      </c>
      <c r="O51" s="67">
        <f t="shared" si="23"/>
        <v>0</v>
      </c>
      <c r="P51" s="68">
        <f t="shared" si="24"/>
        <v>0</v>
      </c>
      <c r="Q51" s="68">
        <f t="shared" si="25"/>
        <v>0</v>
      </c>
      <c r="R51" s="68">
        <f t="shared" si="26"/>
        <v>0</v>
      </c>
      <c r="S51" s="68">
        <f t="shared" si="27"/>
        <v>186.28010808600612</v>
      </c>
      <c r="T51" s="109">
        <f t="shared" si="22"/>
        <v>186.28010808600612</v>
      </c>
      <c r="U51" s="250"/>
      <c r="W51" s="64"/>
      <c r="X51" s="64"/>
      <c r="AJ51" s="44"/>
      <c r="AK51" s="44"/>
    </row>
    <row r="52" spans="1:37" ht="18" x14ac:dyDescent="0.4">
      <c r="A52" s="44"/>
      <c r="B52" s="230" t="s">
        <v>92</v>
      </c>
      <c r="C52" s="252"/>
      <c r="D52" s="253"/>
      <c r="E52" s="44"/>
      <c r="F52" s="44"/>
      <c r="G52" s="44"/>
      <c r="H52" s="16"/>
      <c r="I52" s="44"/>
      <c r="J52" s="44"/>
      <c r="K52" s="44"/>
      <c r="N52" s="155" t="str">
        <f t="shared" si="21"/>
        <v>Pearl millet</v>
      </c>
      <c r="O52" s="67">
        <f t="shared" si="23"/>
        <v>67.037348904885732</v>
      </c>
      <c r="P52" s="68">
        <f t="shared" si="24"/>
        <v>0</v>
      </c>
      <c r="Q52" s="68">
        <f t="shared" si="25"/>
        <v>0</v>
      </c>
      <c r="R52" s="68">
        <f t="shared" si="26"/>
        <v>0</v>
      </c>
      <c r="S52" s="68">
        <f t="shared" si="27"/>
        <v>0</v>
      </c>
      <c r="T52" s="109">
        <f t="shared" si="22"/>
        <v>67.037348904885732</v>
      </c>
      <c r="U52" s="251"/>
      <c r="W52" s="64"/>
      <c r="X52" s="64"/>
      <c r="Y52" s="72"/>
      <c r="Z52" s="64"/>
      <c r="AA52" s="64"/>
      <c r="AJ52" s="44"/>
      <c r="AK52" s="44"/>
    </row>
    <row r="53" spans="1:37" ht="36" customHeight="1" x14ac:dyDescent="0.3">
      <c r="A53" s="44"/>
      <c r="B53" s="39" t="s">
        <v>6</v>
      </c>
      <c r="C53" s="42" t="s">
        <v>65</v>
      </c>
      <c r="D53" s="43" t="s">
        <v>45</v>
      </c>
      <c r="E53" s="44"/>
      <c r="F53" s="44"/>
      <c r="G53" s="44"/>
      <c r="H53" s="17"/>
      <c r="I53" s="44"/>
      <c r="J53" s="44"/>
      <c r="K53" s="44"/>
      <c r="L53" s="115"/>
      <c r="M53" s="115"/>
      <c r="N53" s="127" t="s">
        <v>99</v>
      </c>
      <c r="O53" s="124">
        <f>SUM(O46:O52)</f>
        <v>951.51405991005277</v>
      </c>
      <c r="P53" s="124">
        <f>SUM(P46:P52)</f>
        <v>0</v>
      </c>
      <c r="Q53" s="124">
        <f>SUM(Q46:Q52)</f>
        <v>0</v>
      </c>
      <c r="R53" s="124">
        <f>SUM(R46:R52)</f>
        <v>259.68474961704965</v>
      </c>
      <c r="S53" s="124">
        <f>SUM(S46:S52)</f>
        <v>322.21255938493647</v>
      </c>
      <c r="T53" s="128">
        <f>T52+T51+T50+T49+T48+T47+T46</f>
        <v>2357.5942524828238</v>
      </c>
      <c r="U53" s="73">
        <f>C34</f>
        <v>1000000</v>
      </c>
      <c r="Y53" s="64"/>
      <c r="AJ53" s="44"/>
      <c r="AK53" s="44"/>
    </row>
    <row r="54" spans="1:37" ht="18" x14ac:dyDescent="0.35">
      <c r="A54" s="44"/>
      <c r="B54" s="39" t="str">
        <f t="shared" ref="B54:B60" si="28">B16</f>
        <v xml:space="preserve">Maize </v>
      </c>
      <c r="C54" s="9">
        <f>W60</f>
        <v>2011.0281363916947</v>
      </c>
      <c r="D54" s="9">
        <f>X60</f>
        <v>1082.5349749194611</v>
      </c>
      <c r="E54" s="44"/>
      <c r="F54" s="44"/>
      <c r="G54" s="44"/>
      <c r="H54" s="93"/>
      <c r="I54" s="44"/>
      <c r="J54" s="44"/>
      <c r="K54" s="44"/>
      <c r="L54" s="115"/>
      <c r="M54" s="115"/>
      <c r="N54" s="115"/>
      <c r="T54" s="63"/>
      <c r="Y54" s="94"/>
      <c r="AJ54" s="44"/>
      <c r="AK54" s="44"/>
    </row>
    <row r="55" spans="1:37" ht="18" x14ac:dyDescent="0.35">
      <c r="A55" s="44"/>
      <c r="B55" s="39" t="str">
        <f t="shared" si="28"/>
        <v>Rice Upland</v>
      </c>
      <c r="C55" s="9">
        <f>W64</f>
        <v>1894.6631930052642</v>
      </c>
      <c r="D55" s="9">
        <f>X64</f>
        <v>1913.0423392699477</v>
      </c>
      <c r="E55" s="44"/>
      <c r="F55" s="44"/>
      <c r="G55" s="44"/>
      <c r="H55" s="93"/>
      <c r="I55" s="44"/>
      <c r="J55" s="44"/>
      <c r="K55" s="44"/>
      <c r="L55" s="115"/>
      <c r="M55" s="115"/>
      <c r="N55" s="115"/>
      <c r="Y55" s="94"/>
      <c r="AJ55" s="44"/>
      <c r="AK55" s="44"/>
    </row>
    <row r="56" spans="1:37" ht="18" x14ac:dyDescent="0.35">
      <c r="A56" s="44"/>
      <c r="B56" s="39" t="str">
        <f t="shared" si="28"/>
        <v>Sorghum</v>
      </c>
      <c r="C56" s="9">
        <f>W68</f>
        <v>1566.2112412600816</v>
      </c>
      <c r="D56" s="9">
        <f>X68</f>
        <v>2206.2856362076036</v>
      </c>
      <c r="E56" s="44"/>
      <c r="F56" s="44"/>
      <c r="G56" s="44"/>
      <c r="H56" s="93"/>
      <c r="I56" s="44"/>
      <c r="J56" s="44"/>
      <c r="K56" s="44"/>
      <c r="L56" s="115"/>
      <c r="M56" s="115"/>
      <c r="Y56" s="94"/>
      <c r="AJ56" s="44"/>
      <c r="AK56" s="44"/>
    </row>
    <row r="57" spans="1:37" ht="18" x14ac:dyDescent="0.35">
      <c r="A57" s="44"/>
      <c r="B57" s="39" t="str">
        <f t="shared" si="28"/>
        <v>Rice Lowland</v>
      </c>
      <c r="C57" s="9">
        <f>W72</f>
        <v>378.98759011591187</v>
      </c>
      <c r="D57" s="9">
        <f>X72</f>
        <v>240.13568203923484</v>
      </c>
      <c r="E57" s="44"/>
      <c r="F57" s="44"/>
      <c r="G57" s="44"/>
      <c r="H57" s="93"/>
      <c r="I57" s="44"/>
      <c r="J57" s="44"/>
      <c r="K57" s="44"/>
      <c r="Y57" s="94"/>
      <c r="AJ57" s="44"/>
      <c r="AK57" s="44"/>
    </row>
    <row r="58" spans="1:37" ht="18" x14ac:dyDescent="0.35">
      <c r="A58" s="44"/>
      <c r="B58" s="39" t="str">
        <f t="shared" si="28"/>
        <v>Cowpea</v>
      </c>
      <c r="C58" s="9">
        <f>W76</f>
        <v>295.34077476405099</v>
      </c>
      <c r="D58" s="9">
        <f>X76</f>
        <v>658.35168273617921</v>
      </c>
      <c r="E58" s="44"/>
      <c r="F58" s="44"/>
      <c r="G58" s="44"/>
      <c r="H58" s="93"/>
      <c r="I58" s="44"/>
      <c r="J58" s="44"/>
      <c r="K58" s="44"/>
      <c r="L58" s="225" t="s">
        <v>49</v>
      </c>
      <c r="M58" s="226"/>
      <c r="N58" s="226"/>
      <c r="O58" s="226"/>
      <c r="P58" s="226"/>
      <c r="Q58" s="226"/>
      <c r="R58" s="227"/>
      <c r="S58" s="225" t="s">
        <v>47</v>
      </c>
      <c r="T58" s="226"/>
      <c r="U58" s="226"/>
      <c r="V58" s="226"/>
      <c r="W58" s="225" t="s">
        <v>94</v>
      </c>
      <c r="X58" s="227"/>
      <c r="AJ58" s="44"/>
      <c r="AK58" s="44"/>
    </row>
    <row r="59" spans="1:37" ht="18" x14ac:dyDescent="0.35">
      <c r="A59" s="44"/>
      <c r="B59" s="39" t="str">
        <f t="shared" si="28"/>
        <v>Soybean</v>
      </c>
      <c r="C59" s="145">
        <f>W80</f>
        <v>288.36222538801536</v>
      </c>
      <c r="D59" s="9">
        <f>X80</f>
        <v>324.1210308507811</v>
      </c>
      <c r="E59" s="44"/>
      <c r="F59" s="44"/>
      <c r="G59" s="44"/>
      <c r="H59" s="93"/>
      <c r="I59" s="44"/>
      <c r="J59" s="44"/>
      <c r="K59" s="44"/>
      <c r="L59" s="129" t="s">
        <v>1</v>
      </c>
      <c r="M59" s="74" t="s">
        <v>96</v>
      </c>
      <c r="N59" s="74" t="s">
        <v>97</v>
      </c>
      <c r="O59" s="74" t="s">
        <v>98</v>
      </c>
      <c r="P59" s="129" t="s">
        <v>46</v>
      </c>
      <c r="Q59" s="74" t="s">
        <v>59</v>
      </c>
      <c r="R59" s="74" t="s">
        <v>48</v>
      </c>
      <c r="S59" s="74" t="s">
        <v>42</v>
      </c>
      <c r="T59" s="74" t="s">
        <v>43</v>
      </c>
      <c r="U59" s="74" t="s">
        <v>3</v>
      </c>
      <c r="V59" s="74" t="s">
        <v>2</v>
      </c>
      <c r="W59" s="126" t="s">
        <v>65</v>
      </c>
      <c r="X59" s="126" t="s">
        <v>45</v>
      </c>
      <c r="AJ59" s="44"/>
      <c r="AK59" s="44"/>
    </row>
    <row r="60" spans="1:37" ht="18" x14ac:dyDescent="0.35">
      <c r="A60" s="44"/>
      <c r="B60" s="39" t="str">
        <f t="shared" si="28"/>
        <v>Pearl millet</v>
      </c>
      <c r="C60" s="145">
        <f>W84</f>
        <v>74.071078321294564</v>
      </c>
      <c r="D60" s="9">
        <f>X84</f>
        <v>58.142773458102084</v>
      </c>
      <c r="E60" s="44"/>
      <c r="F60" s="44"/>
      <c r="G60" s="44"/>
      <c r="H60" s="44"/>
      <c r="I60" s="44"/>
      <c r="J60" s="44"/>
      <c r="K60" s="44"/>
      <c r="L60" s="140" t="s">
        <v>108</v>
      </c>
      <c r="M60" s="141">
        <v>3</v>
      </c>
      <c r="N60" s="141">
        <v>1.76</v>
      </c>
      <c r="O60" s="141">
        <v>0.97</v>
      </c>
      <c r="P60" s="126">
        <f t="shared" ref="P60:P87" si="29">M60-N60</f>
        <v>1.24</v>
      </c>
      <c r="Q60" s="121">
        <f>IFERROR((M60-N60*POWER(O60,AC32)-(P60)),0)</f>
        <v>1.5448396053569817</v>
      </c>
      <c r="R60" s="121">
        <f t="shared" ref="R60:R87" si="30">Q60*1000</f>
        <v>1544.8396053569818</v>
      </c>
      <c r="S60" s="130">
        <f>R60*N32*M32</f>
        <v>2317.2594080354729</v>
      </c>
      <c r="T60" s="179">
        <f>S60+S61+S62+S63</f>
        <v>3016.5422045875421</v>
      </c>
      <c r="U60" s="179">
        <f>T46</f>
        <v>851.47225474862</v>
      </c>
      <c r="V60" s="179">
        <f>T60-U60</f>
        <v>2165.0699498389222</v>
      </c>
      <c r="W60" s="128">
        <f>R60+R61+R62+R63</f>
        <v>2011.0281363916947</v>
      </c>
      <c r="X60" s="180">
        <f>IF(OR(M32=0,M32=1),$V$60,IF(M32&lt;1,$V$60/M32,IF(M32&gt;1,$V$60/M32,0)))</f>
        <v>1082.5349749194611</v>
      </c>
      <c r="AJ60" s="44"/>
      <c r="AK60" s="44"/>
    </row>
    <row r="61" spans="1:37" ht="18" x14ac:dyDescent="0.4">
      <c r="A61" s="44"/>
      <c r="B61" s="230" t="s">
        <v>90</v>
      </c>
      <c r="C61" s="231"/>
      <c r="D61" s="232"/>
      <c r="E61" s="44"/>
      <c r="F61" s="44"/>
      <c r="G61" s="44"/>
      <c r="H61" s="44"/>
      <c r="I61" s="44"/>
      <c r="J61" s="44"/>
      <c r="K61" s="44"/>
      <c r="L61" s="198" t="s">
        <v>139</v>
      </c>
      <c r="M61" s="141">
        <v>2.8679999999999999</v>
      </c>
      <c r="N61" s="141">
        <v>0.29499999999999998</v>
      </c>
      <c r="O61" s="141">
        <v>0.92800000000000005</v>
      </c>
      <c r="P61" s="126">
        <f t="shared" si="29"/>
        <v>2.573</v>
      </c>
      <c r="Q61" s="121">
        <f>IFERROR(((M61-N61*POWER(O61,AD32)-(P61))),0)</f>
        <v>0</v>
      </c>
      <c r="R61" s="121">
        <f t="shared" si="30"/>
        <v>0</v>
      </c>
      <c r="S61" s="130">
        <f>R61*N32*M32</f>
        <v>0</v>
      </c>
      <c r="T61" s="179"/>
      <c r="U61" s="179"/>
      <c r="V61" s="179"/>
      <c r="W61" s="128"/>
      <c r="X61" s="178"/>
      <c r="AJ61" s="44"/>
      <c r="AK61" s="44"/>
    </row>
    <row r="62" spans="1:37" ht="35" x14ac:dyDescent="0.35">
      <c r="A62" s="44"/>
      <c r="B62" s="11" t="s">
        <v>89</v>
      </c>
      <c r="C62" s="233">
        <f>V98</f>
        <v>9478.1914336707214</v>
      </c>
      <c r="D62" s="234"/>
      <c r="E62" s="44"/>
      <c r="F62" s="44"/>
      <c r="G62" s="44"/>
      <c r="H62" s="44"/>
      <c r="I62" s="44"/>
      <c r="J62" s="44"/>
      <c r="K62" s="44"/>
      <c r="L62" s="199"/>
      <c r="M62" s="142"/>
      <c r="N62" s="142"/>
      <c r="O62" s="142"/>
      <c r="P62" s="181">
        <f t="shared" si="29"/>
        <v>0</v>
      </c>
      <c r="Q62" s="182">
        <f>IFERROR(((M62-N62*POWER(O62,AE32)-(P62))),0)</f>
        <v>0</v>
      </c>
      <c r="R62" s="182">
        <f t="shared" si="30"/>
        <v>0</v>
      </c>
      <c r="S62" s="183">
        <f>R62*N32*M32</f>
        <v>0</v>
      </c>
      <c r="T62" s="184"/>
      <c r="U62" s="184"/>
      <c r="V62" s="184"/>
      <c r="W62" s="194"/>
      <c r="X62" s="181"/>
      <c r="AJ62" s="44"/>
      <c r="AK62" s="44"/>
    </row>
    <row r="63" spans="1:37" x14ac:dyDescent="0.3">
      <c r="A63" s="44"/>
      <c r="B63" s="96"/>
      <c r="C63" s="96"/>
      <c r="D63" s="96"/>
      <c r="E63" s="96"/>
      <c r="F63" s="96"/>
      <c r="G63" s="12"/>
      <c r="H63" s="16"/>
      <c r="I63" s="44"/>
      <c r="J63" s="44"/>
      <c r="K63" s="44"/>
      <c r="L63" s="140" t="s">
        <v>122</v>
      </c>
      <c r="M63" s="141">
        <v>3.59</v>
      </c>
      <c r="N63" s="141">
        <v>0.56000000000000005</v>
      </c>
      <c r="O63" s="141">
        <v>0.25</v>
      </c>
      <c r="P63" s="181">
        <f t="shared" si="29"/>
        <v>3.03</v>
      </c>
      <c r="Q63" s="121">
        <f>IFERROR((M63-N63*POWER(O63,AF32)-(P63)),0)</f>
        <v>0.46618853103471292</v>
      </c>
      <c r="R63" s="182">
        <f t="shared" si="30"/>
        <v>466.18853103471292</v>
      </c>
      <c r="S63" s="183">
        <f>R63*N32*M32</f>
        <v>699.28279655206939</v>
      </c>
      <c r="T63" s="184"/>
      <c r="U63" s="184"/>
      <c r="V63" s="184"/>
      <c r="W63" s="128"/>
      <c r="X63" s="180"/>
      <c r="AJ63" s="44"/>
      <c r="AK63" s="44"/>
    </row>
    <row r="64" spans="1:37" x14ac:dyDescent="0.3">
      <c r="A64" s="44"/>
      <c r="B64" s="96"/>
      <c r="C64" s="96"/>
      <c r="D64" s="96"/>
      <c r="E64" s="96"/>
      <c r="F64" s="96"/>
      <c r="G64" s="17"/>
      <c r="H64" s="16"/>
      <c r="I64" s="44"/>
      <c r="J64" s="44"/>
      <c r="K64" s="44"/>
      <c r="L64" s="198" t="s">
        <v>133</v>
      </c>
      <c r="M64" s="141">
        <v>4.6550000000000002</v>
      </c>
      <c r="N64" s="141">
        <v>1.9079999999999999</v>
      </c>
      <c r="O64" s="141">
        <v>0.98799999999999999</v>
      </c>
      <c r="P64" s="126">
        <f t="shared" si="29"/>
        <v>2.7470000000000003</v>
      </c>
      <c r="Q64" s="121">
        <f>IFERROR((M64-N64*POWER(O64,AC33)-(P64)),0)</f>
        <v>1.0785168907597149</v>
      </c>
      <c r="R64" s="121">
        <f t="shared" si="30"/>
        <v>1078.5168907597149</v>
      </c>
      <c r="S64" s="130">
        <f>R64*$N$33*$M$33</f>
        <v>2631.5812134537041</v>
      </c>
      <c r="T64" s="179">
        <f>S64+S65+S66+S67</f>
        <v>4622.9781909328449</v>
      </c>
      <c r="U64" s="179">
        <f>T47</f>
        <v>796.89351239294967</v>
      </c>
      <c r="V64" s="179">
        <f>T64-U64</f>
        <v>3826.0846785398953</v>
      </c>
      <c r="W64" s="128">
        <f>R64+R65+R66+R67</f>
        <v>1894.6631930052642</v>
      </c>
      <c r="X64" s="178">
        <f>IF(OR(M33=0,M33=1),$V$64,IF(M33&lt;1,$V$64/M33,IF(M33&gt;1,$V$64/M33,0)))</f>
        <v>1913.0423392699477</v>
      </c>
      <c r="AJ64" s="44"/>
      <c r="AK64" s="44"/>
    </row>
    <row r="65" spans="1:37" x14ac:dyDescent="0.3">
      <c r="A65" s="44"/>
      <c r="B65" s="96"/>
      <c r="C65" s="96"/>
      <c r="D65" s="96"/>
      <c r="E65" s="96"/>
      <c r="F65" s="96"/>
      <c r="G65" s="95"/>
      <c r="H65" s="17"/>
      <c r="I65" s="44"/>
      <c r="J65" s="44"/>
      <c r="K65" s="44"/>
      <c r="L65" s="199" t="s">
        <v>125</v>
      </c>
      <c r="M65" s="142">
        <v>3.633</v>
      </c>
      <c r="N65" s="142">
        <v>0.97899999999999998</v>
      </c>
      <c r="O65" s="142">
        <v>0.90400000000000003</v>
      </c>
      <c r="P65" s="126">
        <f t="shared" si="29"/>
        <v>2.6539999999999999</v>
      </c>
      <c r="Q65" s="182">
        <f>IFERROR(((M65-N65*POWER(O65,AD33)-(P65))),0)</f>
        <v>0</v>
      </c>
      <c r="R65" s="121">
        <f t="shared" si="30"/>
        <v>0</v>
      </c>
      <c r="S65" s="130">
        <f>R65*$N$33*$M$33</f>
        <v>0</v>
      </c>
      <c r="T65" s="179"/>
      <c r="U65" s="179"/>
      <c r="V65" s="179"/>
      <c r="W65" s="128"/>
      <c r="X65" s="178"/>
      <c r="AJ65" s="44"/>
      <c r="AK65" s="44"/>
    </row>
    <row r="66" spans="1:37" x14ac:dyDescent="0.3">
      <c r="A66" s="44"/>
      <c r="B66" s="96"/>
      <c r="C66" s="96"/>
      <c r="D66" s="96"/>
      <c r="E66" s="96"/>
      <c r="F66" s="96"/>
      <c r="G66" s="95"/>
      <c r="H66" s="96"/>
      <c r="I66" s="44"/>
      <c r="J66" s="44"/>
      <c r="K66" s="44"/>
      <c r="L66" s="140" t="s">
        <v>124</v>
      </c>
      <c r="M66" s="141">
        <v>4.4390000000000001</v>
      </c>
      <c r="N66" s="141">
        <v>0.83799999999999997</v>
      </c>
      <c r="O66" s="141">
        <v>0.8</v>
      </c>
      <c r="P66" s="126">
        <f t="shared" si="29"/>
        <v>3.601</v>
      </c>
      <c r="Q66" s="121">
        <f>IFERROR(((M66-N66*POWER(O66,AE33)-(P66))),0)</f>
        <v>0.81614630224554929</v>
      </c>
      <c r="R66" s="121">
        <f t="shared" si="30"/>
        <v>816.14630224554935</v>
      </c>
      <c r="S66" s="130">
        <f>R66*$N$33*$M$33</f>
        <v>1991.3969774791403</v>
      </c>
      <c r="T66" s="179"/>
      <c r="U66" s="179"/>
      <c r="V66" s="179"/>
      <c r="W66" s="128"/>
      <c r="X66" s="180"/>
      <c r="AJ66" s="44"/>
      <c r="AK66" s="44"/>
    </row>
    <row r="67" spans="1:37" x14ac:dyDescent="0.3">
      <c r="A67" s="44"/>
      <c r="B67" s="96"/>
      <c r="C67" s="96"/>
      <c r="D67" s="96"/>
      <c r="E67" s="96"/>
      <c r="F67" s="96"/>
      <c r="G67" s="95"/>
      <c r="H67" s="96"/>
      <c r="I67" s="44"/>
      <c r="J67" s="44"/>
      <c r="K67" s="44"/>
      <c r="L67" s="140" t="s">
        <v>126</v>
      </c>
      <c r="M67" s="141"/>
      <c r="N67" s="141"/>
      <c r="O67" s="141"/>
      <c r="P67" s="181">
        <f t="shared" si="29"/>
        <v>0</v>
      </c>
      <c r="Q67" s="121">
        <f>IFERROR((M67-N67*POWER(O67,AF33)-(P67)),0)</f>
        <v>0</v>
      </c>
      <c r="R67" s="121">
        <f t="shared" si="30"/>
        <v>0</v>
      </c>
      <c r="S67" s="130">
        <f>R67*$N$33*$M$33</f>
        <v>0</v>
      </c>
      <c r="T67" s="179"/>
      <c r="U67" s="179"/>
      <c r="V67" s="179"/>
      <c r="W67" s="128"/>
      <c r="X67" s="178"/>
      <c r="AJ67" s="44"/>
      <c r="AK67" s="44"/>
    </row>
    <row r="68" spans="1:37" x14ac:dyDescent="0.3">
      <c r="A68" s="44"/>
      <c r="B68" s="96"/>
      <c r="C68" s="96"/>
      <c r="D68" s="96"/>
      <c r="E68" s="96"/>
      <c r="F68" s="96"/>
      <c r="G68" s="95"/>
      <c r="H68" s="96"/>
      <c r="I68" s="44"/>
      <c r="J68" s="44"/>
      <c r="K68" s="44"/>
      <c r="L68" s="140" t="s">
        <v>134</v>
      </c>
      <c r="M68" s="141">
        <v>4.0670000000000002</v>
      </c>
      <c r="N68" s="141">
        <v>1.53</v>
      </c>
      <c r="O68" s="141">
        <v>0.86</v>
      </c>
      <c r="P68" s="181">
        <f t="shared" si="29"/>
        <v>2.5369999999999999</v>
      </c>
      <c r="Q68" s="182">
        <f>IFERROR((M68-N68*POWER(O68,AC34)-(P68)),0)</f>
        <v>1.4823398056030204</v>
      </c>
      <c r="R68" s="121">
        <f t="shared" si="30"/>
        <v>1482.3398056030203</v>
      </c>
      <c r="S68" s="130">
        <f>R68*$N$34*$M$34</f>
        <v>2253.1565045165908</v>
      </c>
      <c r="T68" s="179">
        <f>S68+S69+S70+S71</f>
        <v>2380.6410867153236</v>
      </c>
      <c r="U68" s="179">
        <f>T48</f>
        <v>174.35545050771992</v>
      </c>
      <c r="V68" s="179">
        <f>T68-U68</f>
        <v>2206.2856362076036</v>
      </c>
      <c r="W68" s="128">
        <f>R68+R69+R70+R71</f>
        <v>1566.2112412600816</v>
      </c>
      <c r="X68" s="178">
        <f>IF(OR(M34=0,M34=1),$V$68,IF(M34&lt;1,$V$68/M34,IF(M34&gt;1,$V$68/M34,0)))</f>
        <v>2206.2856362076036</v>
      </c>
      <c r="AJ68" s="44"/>
      <c r="AK68" s="44"/>
    </row>
    <row r="69" spans="1:37" ht="46.5" customHeight="1" x14ac:dyDescent="0.35">
      <c r="A69" s="44"/>
      <c r="B69" s="229" t="s">
        <v>144</v>
      </c>
      <c r="C69" s="229"/>
      <c r="D69" s="229"/>
      <c r="E69" s="229"/>
      <c r="F69" s="229"/>
      <c r="G69" s="229"/>
      <c r="H69" s="229"/>
      <c r="I69" s="229"/>
      <c r="J69" s="29"/>
      <c r="K69" s="29"/>
      <c r="L69" s="140" t="s">
        <v>117</v>
      </c>
      <c r="M69" s="141">
        <v>2.77</v>
      </c>
      <c r="N69" s="141">
        <v>1.47</v>
      </c>
      <c r="O69" s="141">
        <v>0.91</v>
      </c>
      <c r="P69" s="181">
        <f t="shared" si="29"/>
        <v>1.3</v>
      </c>
      <c r="Q69" s="182">
        <f>IFERROR(((M69-N69*POWER(O69,AD34)-(P69))),0)</f>
        <v>0</v>
      </c>
      <c r="R69" s="182">
        <f t="shared" si="30"/>
        <v>0</v>
      </c>
      <c r="S69" s="130">
        <f>R69*$N$34*$M$34</f>
        <v>0</v>
      </c>
      <c r="T69" s="184"/>
      <c r="U69" s="184"/>
      <c r="V69" s="184"/>
      <c r="W69" s="194"/>
      <c r="X69" s="195"/>
      <c r="AJ69" s="29"/>
      <c r="AK69" s="29"/>
    </row>
    <row r="70" spans="1:37" ht="17.25" customHeight="1" x14ac:dyDescent="0.3">
      <c r="A70" s="44"/>
      <c r="B70" s="96"/>
      <c r="C70" s="96"/>
      <c r="D70" s="96"/>
      <c r="E70" s="96"/>
      <c r="F70" s="96"/>
      <c r="G70" s="95"/>
      <c r="H70" s="96"/>
      <c r="I70" s="44"/>
      <c r="J70" s="44"/>
      <c r="K70" s="44"/>
      <c r="L70" s="140" t="s">
        <v>116</v>
      </c>
      <c r="M70" s="141">
        <v>2.016</v>
      </c>
      <c r="N70" s="141">
        <v>0.114</v>
      </c>
      <c r="O70" s="141">
        <v>0.9</v>
      </c>
      <c r="P70" s="181">
        <f t="shared" si="29"/>
        <v>1.9019999999999999</v>
      </c>
      <c r="Q70" s="182">
        <f>IFERROR(((M70-N70*POWER(O70,AE34)-(P70))),0)</f>
        <v>7.6883365786598157E-2</v>
      </c>
      <c r="R70" s="182">
        <f t="shared" si="30"/>
        <v>76.883365786598162</v>
      </c>
      <c r="S70" s="130">
        <f>R70*$N$34*$M$34</f>
        <v>116.8627159956292</v>
      </c>
      <c r="T70" s="184"/>
      <c r="U70" s="184"/>
      <c r="V70" s="184"/>
      <c r="W70" s="194"/>
      <c r="X70" s="195"/>
      <c r="AJ70" s="44"/>
      <c r="AK70" s="44"/>
    </row>
    <row r="71" spans="1:37" ht="30" customHeight="1" x14ac:dyDescent="0.35">
      <c r="A71" s="44"/>
      <c r="B71" s="229" t="s">
        <v>145</v>
      </c>
      <c r="C71" s="229"/>
      <c r="D71" s="229"/>
      <c r="E71" s="229"/>
      <c r="F71" s="229"/>
      <c r="G71" s="229"/>
      <c r="H71" s="229"/>
      <c r="I71" s="229"/>
      <c r="J71" s="29"/>
      <c r="K71" s="29"/>
      <c r="L71" s="140" t="s">
        <v>118</v>
      </c>
      <c r="M71" s="141">
        <v>4.3</v>
      </c>
      <c r="N71" s="141">
        <v>0.1</v>
      </c>
      <c r="O71" s="141">
        <v>0.5</v>
      </c>
      <c r="P71" s="181">
        <f t="shared" si="29"/>
        <v>4.2</v>
      </c>
      <c r="Q71" s="182">
        <f>IFERROR((M71-N71*POWER(O71,AF34)-(P71)),0)</f>
        <v>6.9880698704629651E-3</v>
      </c>
      <c r="R71" s="182">
        <f t="shared" si="30"/>
        <v>6.9880698704629651</v>
      </c>
      <c r="S71" s="130">
        <f>R71*$N$34*$M$34</f>
        <v>10.621866203103707</v>
      </c>
      <c r="T71" s="184"/>
      <c r="U71" s="184"/>
      <c r="V71" s="184"/>
      <c r="W71" s="194"/>
      <c r="X71" s="181"/>
      <c r="AJ71" s="29"/>
      <c r="AK71" s="29"/>
    </row>
    <row r="72" spans="1:37" x14ac:dyDescent="0.3">
      <c r="A72" s="44"/>
      <c r="B72" s="96"/>
      <c r="C72" s="96"/>
      <c r="D72" s="96"/>
      <c r="E72" s="96"/>
      <c r="F72" s="96"/>
      <c r="G72" s="44"/>
      <c r="H72" s="44"/>
      <c r="I72" s="44"/>
      <c r="J72" s="44"/>
      <c r="K72" s="44"/>
      <c r="L72" s="199" t="s">
        <v>135</v>
      </c>
      <c r="M72" s="141">
        <v>2.4820000000000002</v>
      </c>
      <c r="N72" s="141">
        <v>0.42799999999999999</v>
      </c>
      <c r="O72" s="141">
        <v>0.97</v>
      </c>
      <c r="P72" s="181">
        <f t="shared" si="29"/>
        <v>2.0540000000000003</v>
      </c>
      <c r="Q72" s="182">
        <f>IFERROR((M72-N72*POWER(O72,AC35)-(P72)),0)</f>
        <v>0.31046338762105297</v>
      </c>
      <c r="R72" s="182">
        <f t="shared" si="30"/>
        <v>310.46338762105296</v>
      </c>
      <c r="S72" s="183">
        <f>R72*$N$35*$M$35</f>
        <v>378.76533289768463</v>
      </c>
      <c r="T72" s="184">
        <f>S72+S73+S74+S75</f>
        <v>462.36485994141253</v>
      </c>
      <c r="U72" s="184">
        <f>T49</f>
        <v>222.2291779021777</v>
      </c>
      <c r="V72" s="184">
        <f>T72-U72</f>
        <v>240.13568203923484</v>
      </c>
      <c r="W72" s="128">
        <f>R72+R73+R74+R75</f>
        <v>378.98759011591187</v>
      </c>
      <c r="X72" s="180">
        <f>IF(OR(M35=0,M35=1),$V$72,IF(M35&lt;1,$V$72/M35,IF(M35&gt;1,$V$72/M35,0)))</f>
        <v>240.13568203923484</v>
      </c>
      <c r="AJ72" s="44"/>
      <c r="AK72" s="44"/>
    </row>
    <row r="73" spans="1:37" ht="47.25" customHeight="1" x14ac:dyDescent="0.35">
      <c r="A73" s="44"/>
      <c r="B73" s="229" t="s">
        <v>146</v>
      </c>
      <c r="C73" s="229"/>
      <c r="D73" s="229"/>
      <c r="E73" s="229"/>
      <c r="F73" s="229"/>
      <c r="G73" s="229"/>
      <c r="H73" s="229"/>
      <c r="I73" s="229"/>
      <c r="J73" s="29"/>
      <c r="K73" s="29"/>
      <c r="L73" s="199" t="s">
        <v>140</v>
      </c>
      <c r="M73" s="141">
        <v>0</v>
      </c>
      <c r="N73" s="141">
        <v>0</v>
      </c>
      <c r="O73" s="141">
        <v>0</v>
      </c>
      <c r="P73" s="181">
        <f t="shared" si="29"/>
        <v>0</v>
      </c>
      <c r="Q73" s="182">
        <f>IFERROR(((M73-N73*POWER(O73,AD35)-(P73))),0)</f>
        <v>0</v>
      </c>
      <c r="R73" s="182">
        <f t="shared" si="30"/>
        <v>0</v>
      </c>
      <c r="S73" s="183">
        <f>R73*$N$35*$M$35</f>
        <v>0</v>
      </c>
      <c r="T73" s="184"/>
      <c r="U73" s="184"/>
      <c r="V73" s="184"/>
      <c r="W73" s="194"/>
      <c r="X73" s="195"/>
      <c r="AJ73" s="29"/>
      <c r="AK73" s="29"/>
    </row>
    <row r="74" spans="1:37" ht="18" customHeight="1" x14ac:dyDescent="0.3">
      <c r="A74" s="44"/>
      <c r="B74" s="96"/>
      <c r="C74" s="96"/>
      <c r="D74" s="96"/>
      <c r="E74" s="96"/>
      <c r="F74" s="96"/>
      <c r="G74" s="95"/>
      <c r="H74" s="44"/>
      <c r="I74" s="44"/>
      <c r="J74" s="44"/>
      <c r="K74" s="44"/>
      <c r="L74" s="199" t="s">
        <v>127</v>
      </c>
      <c r="M74" s="142">
        <v>1.95</v>
      </c>
      <c r="N74" s="142">
        <v>9.0999999999999998E-2</v>
      </c>
      <c r="O74" s="142">
        <v>0.8</v>
      </c>
      <c r="P74" s="126">
        <f t="shared" si="29"/>
        <v>1.859</v>
      </c>
      <c r="Q74" s="121">
        <f>IFERROR(((M74-N74*POWER(O74,AE35)-(P74))),0)</f>
        <v>6.852420249485891E-2</v>
      </c>
      <c r="R74" s="121">
        <f t="shared" si="30"/>
        <v>68.524202494858912</v>
      </c>
      <c r="S74" s="183">
        <f>R74*$N$35*$M$35</f>
        <v>83.599527043727875</v>
      </c>
      <c r="T74" s="126"/>
      <c r="U74" s="126"/>
      <c r="V74" s="126"/>
      <c r="W74" s="128"/>
      <c r="X74" s="180"/>
      <c r="AJ74" s="44"/>
      <c r="AK74" s="44"/>
    </row>
    <row r="75" spans="1:37" ht="15.75" customHeight="1" x14ac:dyDescent="0.3">
      <c r="A75" s="44"/>
      <c r="B75" s="229" t="s">
        <v>95</v>
      </c>
      <c r="C75" s="229"/>
      <c r="D75" s="229"/>
      <c r="E75" s="229"/>
      <c r="F75" s="229"/>
      <c r="G75" s="229"/>
      <c r="H75" s="229"/>
      <c r="I75" s="229"/>
      <c r="J75" s="44"/>
      <c r="K75" s="44"/>
      <c r="L75" s="140" t="s">
        <v>123</v>
      </c>
      <c r="M75" s="141"/>
      <c r="N75" s="141"/>
      <c r="O75" s="141"/>
      <c r="P75" s="126">
        <f t="shared" si="29"/>
        <v>0</v>
      </c>
      <c r="Q75" s="121">
        <f>IFERROR((M75-N75*POWER(O75,AF35)-(P75)),0)</f>
        <v>0</v>
      </c>
      <c r="R75" s="121">
        <f t="shared" si="30"/>
        <v>0</v>
      </c>
      <c r="S75" s="183">
        <f>R75*$N$35*$M$35</f>
        <v>0</v>
      </c>
      <c r="T75" s="179"/>
      <c r="U75" s="179"/>
      <c r="V75" s="179"/>
      <c r="W75" s="128"/>
      <c r="X75" s="180"/>
      <c r="AJ75" s="44"/>
      <c r="AK75" s="44"/>
    </row>
    <row r="76" spans="1:37" ht="18.75" customHeight="1" x14ac:dyDescent="0.3">
      <c r="A76" s="44"/>
      <c r="B76" s="44"/>
      <c r="C76" s="44"/>
      <c r="D76" s="59"/>
      <c r="E76" s="59"/>
      <c r="F76" s="59"/>
      <c r="G76" s="44"/>
      <c r="H76" s="44"/>
      <c r="I76" s="44"/>
      <c r="J76" s="44"/>
      <c r="K76" s="44"/>
      <c r="L76" s="200" t="s">
        <v>112</v>
      </c>
      <c r="M76" s="201">
        <v>1.86</v>
      </c>
      <c r="N76" s="201">
        <v>0.16800000000000001</v>
      </c>
      <c r="O76" s="201">
        <v>0.77</v>
      </c>
      <c r="P76" s="186">
        <f t="shared" si="29"/>
        <v>1.6920000000000002</v>
      </c>
      <c r="Q76" s="187">
        <f>IFERROR((M76-N76*POWER(O76,AC36)-(P76)),0)</f>
        <v>0.16647895404729973</v>
      </c>
      <c r="R76" s="187">
        <f t="shared" si="30"/>
        <v>166.47895404729974</v>
      </c>
      <c r="S76" s="188">
        <f>R76*$N$36*$M$36</f>
        <v>404.54385833493836</v>
      </c>
      <c r="T76" s="189">
        <f>S76+S77+S78+S79</f>
        <v>717.67808267664384</v>
      </c>
      <c r="U76" s="189">
        <f>T50</f>
        <v>59.326399940464647</v>
      </c>
      <c r="V76" s="189">
        <f>T76-U76</f>
        <v>658.35168273617921</v>
      </c>
      <c r="W76" s="190">
        <f>R76+R77+R78+R79</f>
        <v>295.34077476405099</v>
      </c>
      <c r="X76" s="191">
        <f>IF(OR(M36=0,M36=1),$V$76,IF(M36&lt;1,$V$76/M36,IF(M36&gt;1,$V$76/M36,0)))</f>
        <v>658.35168273617921</v>
      </c>
      <c r="AJ76" s="44"/>
      <c r="AK76" s="44"/>
    </row>
    <row r="77" spans="1:37" ht="16.5" customHeight="1" x14ac:dyDescent="0.3">
      <c r="A77" s="44"/>
      <c r="B77" s="12"/>
      <c r="C77" s="12"/>
      <c r="D77" s="12"/>
      <c r="E77" s="12"/>
      <c r="F77" s="12"/>
      <c r="G77" s="12"/>
      <c r="H77" s="44"/>
      <c r="I77" s="44"/>
      <c r="J77" s="44"/>
      <c r="K77" s="44"/>
      <c r="L77" s="200" t="s">
        <v>113</v>
      </c>
      <c r="M77" s="202">
        <v>0.92900000000000005</v>
      </c>
      <c r="N77" s="202">
        <v>0.04</v>
      </c>
      <c r="O77" s="202">
        <v>0.7</v>
      </c>
      <c r="P77" s="132">
        <f t="shared" si="29"/>
        <v>0.88900000000000001</v>
      </c>
      <c r="Q77" s="192">
        <f>IFERROR(((M77-N77*POWER(O77,AD36)-(P77))),0)</f>
        <v>3.9969223389256903E-2</v>
      </c>
      <c r="R77" s="192">
        <f t="shared" si="30"/>
        <v>39.969223389256904</v>
      </c>
      <c r="S77" s="188">
        <f>R77*$N$36*$M$36</f>
        <v>97.125212835894288</v>
      </c>
      <c r="T77" s="132"/>
      <c r="U77" s="185"/>
      <c r="V77" s="185"/>
      <c r="W77" s="193"/>
      <c r="X77" s="132"/>
      <c r="AJ77" s="44"/>
      <c r="AK77" s="44"/>
    </row>
    <row r="78" spans="1:37" ht="21" customHeight="1" x14ac:dyDescent="0.3">
      <c r="A78" s="44"/>
      <c r="B78" s="18"/>
      <c r="C78" s="12"/>
      <c r="D78" s="12"/>
      <c r="E78" s="12"/>
      <c r="F78" s="12"/>
      <c r="G78" s="12"/>
      <c r="H78" s="44"/>
      <c r="I78" s="44"/>
      <c r="J78" s="44"/>
      <c r="K78" s="44"/>
      <c r="L78" s="203" t="s">
        <v>128</v>
      </c>
      <c r="M78" s="204">
        <v>0.871</v>
      </c>
      <c r="N78" s="204">
        <v>0.1</v>
      </c>
      <c r="O78" s="204">
        <v>0.8</v>
      </c>
      <c r="P78" s="132">
        <f t="shared" si="29"/>
        <v>0.77100000000000002</v>
      </c>
      <c r="Q78" s="132">
        <f>IFERROR(((M78-N78*POWER(O78,AE36)-(P78))),0)</f>
        <v>8.8892597327494327E-2</v>
      </c>
      <c r="R78" s="192">
        <f t="shared" si="30"/>
        <v>88.892597327494329</v>
      </c>
      <c r="S78" s="188">
        <f>R78*$N$36*$M$36</f>
        <v>216.00901150581123</v>
      </c>
      <c r="T78" s="132"/>
      <c r="U78" s="193"/>
      <c r="V78" s="193"/>
      <c r="W78" s="192"/>
      <c r="X78" s="132"/>
      <c r="Y78" s="63"/>
      <c r="Z78" s="63"/>
      <c r="AJ78" s="44"/>
      <c r="AK78" s="44"/>
    </row>
    <row r="79" spans="1:37" ht="21.75" customHeight="1" x14ac:dyDescent="0.3">
      <c r="B79" s="97"/>
      <c r="C79" s="97"/>
      <c r="D79" s="97"/>
      <c r="E79" s="97"/>
      <c r="F79" s="97"/>
      <c r="G79" s="97"/>
      <c r="I79" s="98"/>
      <c r="J79" s="98"/>
      <c r="K79" s="98"/>
      <c r="L79" s="203" t="s">
        <v>114</v>
      </c>
      <c r="M79" s="204"/>
      <c r="N79" s="204"/>
      <c r="O79" s="204"/>
      <c r="P79" s="132">
        <f t="shared" si="29"/>
        <v>0</v>
      </c>
      <c r="Q79" s="132">
        <f>IFERROR((M79-N79*POWER(O79,AF36)-(P79)),0)</f>
        <v>0</v>
      </c>
      <c r="R79" s="192">
        <f t="shared" si="30"/>
        <v>0</v>
      </c>
      <c r="S79" s="188">
        <f>R79*$N$36*$M$36</f>
        <v>0</v>
      </c>
      <c r="T79" s="132"/>
      <c r="U79" s="132"/>
      <c r="V79" s="132"/>
      <c r="W79" s="132"/>
      <c r="X79" s="132"/>
    </row>
    <row r="80" spans="1:37" x14ac:dyDescent="0.3">
      <c r="B80" s="97"/>
      <c r="C80" s="97"/>
      <c r="D80" s="97"/>
      <c r="E80" s="97"/>
      <c r="F80" s="97"/>
      <c r="G80" s="97"/>
      <c r="I80" s="98"/>
      <c r="J80" s="98"/>
      <c r="K80" s="98"/>
      <c r="L80" s="203" t="s">
        <v>136</v>
      </c>
      <c r="M80" s="202"/>
      <c r="N80" s="202"/>
      <c r="O80" s="202"/>
      <c r="P80" s="132">
        <f t="shared" si="29"/>
        <v>0</v>
      </c>
      <c r="Q80" s="132">
        <f>IFERROR((M80-N80*POWER(O80,AC37)-(P80)),0)</f>
        <v>0</v>
      </c>
      <c r="R80" s="192">
        <f t="shared" si="30"/>
        <v>0</v>
      </c>
      <c r="S80" s="132">
        <f>R80*$N$37*$M$37</f>
        <v>0</v>
      </c>
      <c r="T80" s="132">
        <f>S80+S81+S82+S83</f>
        <v>510.40113893678722</v>
      </c>
      <c r="U80" s="193">
        <f>T51</f>
        <v>186.28010808600612</v>
      </c>
      <c r="V80" s="132">
        <f>T80-U80</f>
        <v>324.1210308507811</v>
      </c>
      <c r="W80" s="192">
        <f>R80+R81+R82+R83</f>
        <v>288.36222538801536</v>
      </c>
      <c r="X80" s="132">
        <f>IF(OR(M37=0,M37=1),$V$80,IF(M37&lt;1,$V$80/M37,IF(M37&gt;1,$V$80/M37,0)))</f>
        <v>324.1210308507811</v>
      </c>
    </row>
    <row r="81" spans="2:24" x14ac:dyDescent="0.3">
      <c r="B81" s="98"/>
      <c r="C81" s="98"/>
      <c r="D81" s="98"/>
      <c r="E81" s="98"/>
      <c r="F81" s="98"/>
      <c r="G81" s="98"/>
      <c r="I81" s="98"/>
      <c r="J81" s="98"/>
      <c r="K81" s="98"/>
      <c r="L81" s="203" t="s">
        <v>115</v>
      </c>
      <c r="M81" s="200">
        <v>1.319</v>
      </c>
      <c r="N81" s="200">
        <v>0.14099999999999999</v>
      </c>
      <c r="O81" s="200">
        <v>0.85499999999999998</v>
      </c>
      <c r="P81" s="185">
        <f t="shared" si="29"/>
        <v>1.1779999999999999</v>
      </c>
      <c r="Q81" s="185">
        <f>IFERROR(((M81-N81*POWER(O81,AD37)-(P81))),0)</f>
        <v>0</v>
      </c>
      <c r="R81" s="185">
        <f t="shared" si="30"/>
        <v>0</v>
      </c>
      <c r="S81" s="132">
        <f>R81*$N$37*$M$37</f>
        <v>0</v>
      </c>
      <c r="T81" s="185"/>
      <c r="U81" s="185"/>
      <c r="V81" s="185"/>
      <c r="W81" s="185"/>
      <c r="X81" s="185"/>
    </row>
    <row r="82" spans="2:24" ht="15.5" x14ac:dyDescent="0.3">
      <c r="B82" s="98"/>
      <c r="C82" s="98"/>
      <c r="D82" s="98"/>
      <c r="E82" s="98"/>
      <c r="F82" s="98"/>
      <c r="G82" s="98"/>
      <c r="I82" s="98"/>
      <c r="J82" s="98"/>
      <c r="K82" s="98"/>
      <c r="L82" s="203" t="s">
        <v>137</v>
      </c>
      <c r="M82" s="205">
        <v>0</v>
      </c>
      <c r="N82" s="205">
        <v>0</v>
      </c>
      <c r="O82" s="205">
        <v>0</v>
      </c>
      <c r="P82" s="132">
        <f t="shared" si="29"/>
        <v>0</v>
      </c>
      <c r="Q82" s="185">
        <f>IFERROR(((M82-N82*POWER(O82,AE37)-(P82))),0)</f>
        <v>0</v>
      </c>
      <c r="R82" s="192">
        <f t="shared" si="30"/>
        <v>0</v>
      </c>
      <c r="S82" s="132">
        <f>R82*$N$37*$M$37</f>
        <v>0</v>
      </c>
      <c r="T82" s="196"/>
      <c r="U82" s="196"/>
      <c r="V82" s="196"/>
      <c r="W82" s="193"/>
      <c r="X82" s="193"/>
    </row>
    <row r="83" spans="2:24" ht="15.5" x14ac:dyDescent="0.3">
      <c r="B83" s="98"/>
      <c r="C83" s="98"/>
      <c r="D83" s="98"/>
      <c r="E83" s="98"/>
      <c r="F83" s="98"/>
      <c r="G83" s="98"/>
      <c r="I83" s="98"/>
      <c r="J83" s="98"/>
      <c r="K83" s="98"/>
      <c r="L83" s="203" t="s">
        <v>129</v>
      </c>
      <c r="M83" s="205">
        <v>1.6140000000000001</v>
      </c>
      <c r="N83" s="205">
        <v>0.34799999999999998</v>
      </c>
      <c r="O83" s="205">
        <v>0.39700000000000002</v>
      </c>
      <c r="P83" s="132">
        <f t="shared" si="29"/>
        <v>1.266</v>
      </c>
      <c r="Q83" s="185">
        <f>IFERROR(((M83-N83*POWER(O83,AF37)-(P83))),0)</f>
        <v>0.28836222538801537</v>
      </c>
      <c r="R83" s="192">
        <f t="shared" si="30"/>
        <v>288.36222538801536</v>
      </c>
      <c r="S83" s="132">
        <f>R83*$N$37*$M$37</f>
        <v>510.40113893678722</v>
      </c>
      <c r="T83" s="196"/>
      <c r="U83" s="196"/>
      <c r="V83" s="196"/>
      <c r="W83" s="193"/>
      <c r="X83" s="193"/>
    </row>
    <row r="84" spans="2:24" ht="15.5" x14ac:dyDescent="0.3">
      <c r="B84" s="98"/>
      <c r="C84" s="98"/>
      <c r="D84" s="98"/>
      <c r="E84" s="98"/>
      <c r="F84" s="98"/>
      <c r="G84" s="98"/>
      <c r="I84" s="98"/>
      <c r="J84" s="98"/>
      <c r="K84" s="98"/>
      <c r="L84" s="206" t="s">
        <v>130</v>
      </c>
      <c r="M84" s="205">
        <v>1.111</v>
      </c>
      <c r="N84" s="205">
        <v>0.11</v>
      </c>
      <c r="O84" s="205">
        <v>0.93</v>
      </c>
      <c r="P84" s="132">
        <f t="shared" si="29"/>
        <v>1.0009999999999999</v>
      </c>
      <c r="Q84" s="185">
        <f>IFERROR(((M84-N84*POWER(O84,AC38)-(P84))),0)</f>
        <v>7.4071078321294559E-2</v>
      </c>
      <c r="R84" s="192">
        <f t="shared" si="30"/>
        <v>74.071078321294564</v>
      </c>
      <c r="S84" s="132">
        <f>R84*$N$38*$M$38</f>
        <v>125.18012236298782</v>
      </c>
      <c r="T84" s="196">
        <f>S84+S85+S86+S87</f>
        <v>125.18012236298782</v>
      </c>
      <c r="U84" s="196">
        <f>T52</f>
        <v>67.037348904885732</v>
      </c>
      <c r="V84" s="196">
        <f>T84-U84</f>
        <v>58.142773458102084</v>
      </c>
      <c r="W84" s="193">
        <f>R84+R85+R86+R87</f>
        <v>74.071078321294564</v>
      </c>
      <c r="X84" s="193">
        <f>IF(OR(M38=0,M38=1),$V$84,IF(M38&lt;1,$V$84/M38,IF(M38&gt;1,$V$84/M38,0)))</f>
        <v>58.142773458102084</v>
      </c>
    </row>
    <row r="85" spans="2:24" x14ac:dyDescent="0.3">
      <c r="L85" s="200" t="s">
        <v>106</v>
      </c>
      <c r="M85" s="200">
        <v>1.52</v>
      </c>
      <c r="N85" s="200">
        <v>0.129</v>
      </c>
      <c r="O85" s="200">
        <v>0.9</v>
      </c>
      <c r="P85" s="132">
        <f t="shared" si="29"/>
        <v>1.391</v>
      </c>
      <c r="Q85" s="185">
        <f>IFERROR(((M85-N85*POWER(O85,AD38)-(P85))),0)</f>
        <v>0</v>
      </c>
      <c r="R85" s="192">
        <f t="shared" si="30"/>
        <v>0</v>
      </c>
      <c r="S85" s="132">
        <f>R85*$N$38*$M$38</f>
        <v>0</v>
      </c>
      <c r="T85" s="185"/>
      <c r="U85" s="185"/>
      <c r="V85" s="185"/>
      <c r="W85" s="185"/>
      <c r="X85" s="185"/>
    </row>
    <row r="86" spans="2:24" x14ac:dyDescent="0.3">
      <c r="L86" s="200" t="s">
        <v>138</v>
      </c>
      <c r="M86" s="200">
        <v>0</v>
      </c>
      <c r="N86" s="200">
        <v>0</v>
      </c>
      <c r="O86" s="200">
        <v>0</v>
      </c>
      <c r="P86" s="132">
        <f t="shared" si="29"/>
        <v>0</v>
      </c>
      <c r="Q86" s="185">
        <f>IFERROR(((M86-N86*POWER(O86,AE38)-(P86))),0)</f>
        <v>0</v>
      </c>
      <c r="R86" s="192">
        <f t="shared" si="30"/>
        <v>0</v>
      </c>
      <c r="S86" s="132">
        <f>R86*$N$38*$M$38</f>
        <v>0</v>
      </c>
      <c r="T86" s="185"/>
      <c r="U86" s="185"/>
      <c r="V86" s="185"/>
      <c r="W86" s="197"/>
      <c r="X86" s="185"/>
    </row>
    <row r="87" spans="2:24" x14ac:dyDescent="0.3">
      <c r="L87" s="140" t="s">
        <v>107</v>
      </c>
      <c r="M87" s="140">
        <v>0</v>
      </c>
      <c r="N87" s="140">
        <v>0</v>
      </c>
      <c r="O87" s="140">
        <v>0</v>
      </c>
      <c r="P87" s="126">
        <f t="shared" si="29"/>
        <v>0</v>
      </c>
      <c r="Q87" s="185">
        <f>IFERROR(((M87-N87*POWER(O87,AF38)-(P87))),0)</f>
        <v>0</v>
      </c>
      <c r="R87" s="121">
        <f t="shared" si="30"/>
        <v>0</v>
      </c>
      <c r="S87" s="132">
        <f>R87*$N$38*$M$38</f>
        <v>0</v>
      </c>
      <c r="T87" s="126"/>
      <c r="U87" s="126"/>
      <c r="V87" s="126"/>
      <c r="W87" s="178"/>
      <c r="X87" s="178"/>
    </row>
    <row r="88" spans="2:24" x14ac:dyDescent="0.3">
      <c r="I88" s="45" t="s">
        <v>84</v>
      </c>
      <c r="L88" s="178"/>
      <c r="M88" s="178"/>
      <c r="N88" s="178"/>
      <c r="O88" s="178"/>
      <c r="P88" s="178"/>
      <c r="Q88" s="178"/>
      <c r="R88" s="178"/>
      <c r="S88" s="126"/>
      <c r="T88" s="126"/>
      <c r="U88" s="126"/>
      <c r="V88" s="126"/>
      <c r="W88" s="178"/>
      <c r="X88" s="178"/>
    </row>
    <row r="89" spans="2:24" x14ac:dyDescent="0.3">
      <c r="T89" s="143"/>
      <c r="U89" s="143"/>
      <c r="V89" s="143"/>
      <c r="W89" s="63"/>
    </row>
    <row r="90" spans="2:24" x14ac:dyDescent="0.3">
      <c r="T90" s="63"/>
      <c r="U90" s="63"/>
      <c r="V90" s="63"/>
      <c r="W90" s="63"/>
    </row>
    <row r="91" spans="2:24" x14ac:dyDescent="0.3">
      <c r="T91" s="63"/>
      <c r="U91" s="63"/>
      <c r="V91" s="63"/>
      <c r="W91" s="63"/>
    </row>
    <row r="96" spans="2:24" x14ac:dyDescent="0.3">
      <c r="T96" s="74" t="s">
        <v>55</v>
      </c>
      <c r="U96" s="74"/>
      <c r="V96" s="74"/>
    </row>
    <row r="97" spans="20:22" x14ac:dyDescent="0.3">
      <c r="T97" s="74" t="s">
        <v>56</v>
      </c>
      <c r="U97" s="74" t="s">
        <v>57</v>
      </c>
      <c r="V97" s="74" t="s">
        <v>58</v>
      </c>
    </row>
    <row r="98" spans="20:22" x14ac:dyDescent="0.3">
      <c r="T98" s="144">
        <f>SUM(T60:T87)</f>
        <v>11835.785686153544</v>
      </c>
      <c r="U98" s="144">
        <f>SUM(U60:U87)</f>
        <v>2357.5942524828242</v>
      </c>
      <c r="V98" s="144">
        <f>SUM(V60:V87)</f>
        <v>9478.1914336707214</v>
      </c>
    </row>
  </sheetData>
  <sheetProtection password="C75C" sheet="1" objects="1" scenarios="1"/>
  <mergeCells count="28"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B69:I69"/>
    <mergeCell ref="C62:D62"/>
    <mergeCell ref="O30:S30"/>
    <mergeCell ref="L30:N30"/>
    <mergeCell ref="C10:D10"/>
    <mergeCell ref="C12:D12"/>
    <mergeCell ref="C11:D11"/>
    <mergeCell ref="B24:G24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50800</xdr:colOff>
                    <xdr:row>36</xdr:row>
                    <xdr:rowOff>57150</xdr:rowOff>
                  </from>
                  <to>
                    <xdr:col>1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298450</xdr:colOff>
                    <xdr:row>36</xdr:row>
                    <xdr:rowOff>50800</xdr:rowOff>
                  </from>
                  <to>
                    <xdr:col>3</xdr:col>
                    <xdr:colOff>527050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_xludf.Help">
                <anchor moveWithCells="1" sizeWithCells="1">
                  <from>
                    <xdr:col>1</xdr:col>
                    <xdr:colOff>184150</xdr:colOff>
                    <xdr:row>4</xdr:row>
                    <xdr:rowOff>0</xdr:rowOff>
                  </from>
                  <to>
                    <xdr:col>1</xdr:col>
                    <xdr:colOff>1231900</xdr:colOff>
                    <xdr:row>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50800</xdr:colOff>
                    <xdr:row>64</xdr:row>
                    <xdr:rowOff>63500</xdr:rowOff>
                  </from>
                  <to>
                    <xdr:col>1</xdr:col>
                    <xdr:colOff>1162050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50800</xdr:colOff>
                    <xdr:row>2</xdr:row>
                    <xdr:rowOff>63500</xdr:rowOff>
                  </from>
                  <to>
                    <xdr:col>11</xdr:col>
                    <xdr:colOff>1155700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/>
  </documentManagement>
</p:properties>
</file>

<file path=customXml/itemProps1.xml><?xml version="1.0" encoding="utf-8"?>
<ds:datastoreItem xmlns:ds="http://schemas.openxmlformats.org/officeDocument/2006/customXml" ds:itemID="{6E62EEBE-5F92-4810-BCF1-B61A1C073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BFA6E9-0C1F-449C-BADF-D07553A72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62474-2805-437D-A3F3-50F0A7E6FDB2}">
  <ds:schemaRefs>
    <ds:schemaRef ds:uri="http://schemas.microsoft.com/office/2006/metadata/properties"/>
    <ds:schemaRef ds:uri="http://purl.org/dc/dcmitype/"/>
    <ds:schemaRef ds:uri="6a2a5ef5-46a6-42c7-b9b9-d957781a302b"/>
    <ds:schemaRef ds:uri="cfcaa660-3182-4f27-8fa7-16736e9283fd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2026-01-06T20:48:58Z</dcterms:modified>
</cp:coreProperties>
</file>