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Kenya FOTs Feb 2019/New folder/"/>
    </mc:Choice>
  </mc:AlternateContent>
  <xr:revisionPtr revIDLastSave="0" documentId="8_{D8DE8BAF-50EF-42F7-89DC-4C40310EBE1E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Optimization'!$AB$32:$AD$38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Optimization'!$V$89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Optimization'!$Y$18:$AA$24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0" i="2" l="1"/>
  <c r="V24" i="2" l="1"/>
  <c r="V23" i="2"/>
  <c r="V22" i="2"/>
  <c r="V21" i="2"/>
  <c r="V20" i="2"/>
  <c r="V19" i="2"/>
  <c r="V18" i="2"/>
  <c r="T24" i="2"/>
  <c r="T22" i="2"/>
  <c r="T21" i="2"/>
  <c r="T20" i="2"/>
  <c r="T19" i="2"/>
  <c r="T18" i="2"/>
  <c r="N13" i="2"/>
  <c r="N12" i="2"/>
  <c r="N11" i="2"/>
  <c r="N10" i="2"/>
  <c r="N9" i="2"/>
  <c r="W21" i="2" l="1"/>
  <c r="B60" i="2" l="1"/>
  <c r="B59" i="2"/>
  <c r="B58" i="2"/>
  <c r="B57" i="2"/>
  <c r="B56" i="2"/>
  <c r="B55" i="2"/>
  <c r="B54" i="2"/>
  <c r="B50" i="2"/>
  <c r="B49" i="2"/>
  <c r="B48" i="2"/>
  <c r="B47" i="2"/>
  <c r="B46" i="2"/>
  <c r="B45" i="2"/>
  <c r="B44" i="2"/>
  <c r="N52" i="2"/>
  <c r="N51" i="2"/>
  <c r="N50" i="2"/>
  <c r="N49" i="2"/>
  <c r="N48" i="2"/>
  <c r="N47" i="2"/>
  <c r="N46" i="2"/>
  <c r="L38" i="2"/>
  <c r="L37" i="2"/>
  <c r="L36" i="2"/>
  <c r="L35" i="2"/>
  <c r="L34" i="2"/>
  <c r="L33" i="2"/>
  <c r="L32" i="2"/>
  <c r="N24" i="2"/>
  <c r="N23" i="2"/>
  <c r="N22" i="2"/>
  <c r="N21" i="2"/>
  <c r="N20" i="2"/>
  <c r="N19" i="2"/>
  <c r="N18" i="2"/>
  <c r="C23" i="2" l="1"/>
  <c r="U22" i="2" l="1"/>
  <c r="U21" i="2"/>
  <c r="U20" i="2"/>
  <c r="U19" i="2"/>
  <c r="U18" i="2"/>
  <c r="M38" i="2"/>
  <c r="M37" i="2"/>
  <c r="M36" i="2"/>
  <c r="M35" i="2"/>
  <c r="M34" i="2"/>
  <c r="M33" i="2"/>
  <c r="M32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5" i="2"/>
  <c r="F45" i="2"/>
  <c r="E45" i="2"/>
  <c r="D45" i="2"/>
  <c r="G44" i="2"/>
  <c r="F44" i="2"/>
  <c r="E44" i="2"/>
  <c r="D44" i="2"/>
  <c r="C45" i="2"/>
  <c r="C46" i="2"/>
  <c r="C47" i="2"/>
  <c r="C48" i="2"/>
  <c r="C49" i="2"/>
  <c r="C50" i="2"/>
  <c r="C44" i="2"/>
  <c r="U53" i="2"/>
  <c r="M39" i="2" l="1"/>
  <c r="X24" i="2"/>
  <c r="W24" i="2"/>
  <c r="U24" i="2"/>
  <c r="U23" i="2" l="1"/>
  <c r="P60" i="2"/>
  <c r="Q11" i="2" l="1"/>
  <c r="V38" i="2" s="1"/>
  <c r="R10" i="2"/>
  <c r="U38" i="2" s="1"/>
  <c r="R11" i="2"/>
  <c r="W38" i="2" s="1"/>
  <c r="S12" i="2"/>
  <c r="X38" i="2" s="1"/>
  <c r="T11" i="2" l="1"/>
  <c r="P72" i="2"/>
  <c r="X21" i="2"/>
  <c r="X20" i="2"/>
  <c r="X19" i="2"/>
  <c r="X18" i="2"/>
  <c r="W23" i="2"/>
  <c r="W22" i="2"/>
  <c r="W20" i="2"/>
  <c r="W19" i="2"/>
  <c r="W18" i="2"/>
  <c r="Q46" i="2" l="1"/>
  <c r="Q52" i="2"/>
  <c r="T23" i="2" l="1"/>
  <c r="P76" i="2"/>
  <c r="P73" i="2"/>
  <c r="P71" i="2"/>
  <c r="P68" i="2" l="1"/>
  <c r="P65" i="2"/>
  <c r="P62" i="2"/>
  <c r="S13" i="2" l="1"/>
  <c r="AA38" i="2" s="1"/>
  <c r="AD38" i="2" s="1"/>
  <c r="S11" i="2"/>
  <c r="S10" i="2"/>
  <c r="S9" i="2"/>
  <c r="R9" i="2"/>
  <c r="R12" i="2"/>
  <c r="R13" i="2"/>
  <c r="Z38" i="2" s="1"/>
  <c r="AC38" i="2" s="1"/>
  <c r="Q9" i="2"/>
  <c r="T38" i="2" l="1"/>
  <c r="T32" i="2"/>
  <c r="Q10" i="2"/>
  <c r="Q12" i="2"/>
  <c r="Q13" i="2"/>
  <c r="Y38" i="2" s="1"/>
  <c r="AB38" i="2" l="1"/>
  <c r="P61" i="2"/>
  <c r="X23" i="2"/>
  <c r="X22" i="2"/>
  <c r="G43" i="2"/>
  <c r="P77" i="2" l="1"/>
  <c r="P75" i="2"/>
  <c r="P74" i="2"/>
  <c r="C12" i="2" l="1"/>
  <c r="T36" i="2"/>
  <c r="V34" i="2"/>
  <c r="T33" i="2"/>
  <c r="T13" i="2"/>
  <c r="S52" i="2" s="1"/>
  <c r="P13" i="2"/>
  <c r="T9" i="2"/>
  <c r="O46" i="2" l="1"/>
  <c r="O52" i="2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AA35" i="2"/>
  <c r="Y35" i="2"/>
  <c r="W35" i="2"/>
  <c r="U35" i="2"/>
  <c r="AA34" i="2"/>
  <c r="Z34" i="2"/>
  <c r="Y34" i="2"/>
  <c r="X34" i="2"/>
  <c r="W34" i="2"/>
  <c r="U34" i="2"/>
  <c r="T34" i="2"/>
  <c r="AA33" i="2"/>
  <c r="Y33" i="2"/>
  <c r="W33" i="2"/>
  <c r="U33" i="2"/>
  <c r="Z33" i="2"/>
  <c r="X33" i="2"/>
  <c r="AA32" i="2"/>
  <c r="Z32" i="2"/>
  <c r="Y32" i="2"/>
  <c r="X32" i="2"/>
  <c r="W32" i="2"/>
  <c r="U32" i="2"/>
  <c r="O47" i="2"/>
  <c r="O48" i="2"/>
  <c r="O49" i="2"/>
  <c r="O50" i="2"/>
  <c r="O51" i="2"/>
  <c r="S46" i="2"/>
  <c r="S47" i="2"/>
  <c r="S48" i="2"/>
  <c r="S49" i="2"/>
  <c r="S50" i="2"/>
  <c r="S51" i="2"/>
  <c r="X17" i="2"/>
  <c r="S45" i="2"/>
  <c r="AA31" i="2"/>
  <c r="S31" i="2"/>
  <c r="Y31" i="2"/>
  <c r="Z31" i="2"/>
  <c r="S17" i="2"/>
  <c r="T10" i="2"/>
  <c r="P52" i="2" s="1"/>
  <c r="T12" i="2"/>
  <c r="N33" i="2"/>
  <c r="N34" i="2"/>
  <c r="N35" i="2"/>
  <c r="N36" i="2"/>
  <c r="N37" i="2"/>
  <c r="N32" i="2"/>
  <c r="N38" i="2" s="1"/>
  <c r="N80" i="2" l="1"/>
  <c r="N79" i="2"/>
  <c r="M80" i="2"/>
  <c r="M79" i="2"/>
  <c r="M78" i="2"/>
  <c r="N78" i="2"/>
  <c r="AB32" i="2"/>
  <c r="Q60" i="2" s="1"/>
  <c r="R47" i="2"/>
  <c r="R52" i="2"/>
  <c r="T52" i="2" s="1"/>
  <c r="U78" i="2" s="1"/>
  <c r="O53" i="2"/>
  <c r="S53" i="2"/>
  <c r="AC36" i="2"/>
  <c r="Q73" i="2" s="1"/>
  <c r="AD36" i="2"/>
  <c r="Q74" i="2" s="1"/>
  <c r="P46" i="2"/>
  <c r="P50" i="2"/>
  <c r="R48" i="2"/>
  <c r="R49" i="2"/>
  <c r="R50" i="2"/>
  <c r="R51" i="2"/>
  <c r="R46" i="2"/>
  <c r="Q47" i="2"/>
  <c r="Q48" i="2"/>
  <c r="Q49" i="2"/>
  <c r="Q50" i="2"/>
  <c r="Q51" i="2"/>
  <c r="P47" i="2"/>
  <c r="P48" i="2"/>
  <c r="P49" i="2"/>
  <c r="P51" i="2"/>
  <c r="P70" i="2"/>
  <c r="P69" i="2"/>
  <c r="P67" i="2"/>
  <c r="P66" i="2"/>
  <c r="P78" i="2" l="1"/>
  <c r="Q78" i="2"/>
  <c r="R78" i="2" s="1"/>
  <c r="P80" i="2"/>
  <c r="Q80" i="2"/>
  <c r="R80" i="2" s="1"/>
  <c r="S80" i="2" s="1"/>
  <c r="P79" i="2"/>
  <c r="Q79" i="2"/>
  <c r="R79" i="2" s="1"/>
  <c r="S79" i="2" s="1"/>
  <c r="R53" i="2"/>
  <c r="Q53" i="2"/>
  <c r="P53" i="2"/>
  <c r="T46" i="2"/>
  <c r="U60" i="2" s="1"/>
  <c r="T49" i="2"/>
  <c r="U69" i="2" s="1"/>
  <c r="T50" i="2"/>
  <c r="U72" i="2" s="1"/>
  <c r="T48" i="2"/>
  <c r="U66" i="2" s="1"/>
  <c r="T47" i="2"/>
  <c r="U63" i="2" s="1"/>
  <c r="P63" i="2"/>
  <c r="P64" i="2"/>
  <c r="S78" i="2" l="1"/>
  <c r="T78" i="2" s="1"/>
  <c r="V78" i="2" s="1"/>
  <c r="X78" i="2" s="1"/>
  <c r="D60" i="2" s="1"/>
  <c r="W78" i="2"/>
  <c r="C60" i="2" s="1"/>
  <c r="T37" i="2"/>
  <c r="S40" i="2"/>
  <c r="G51" i="2" s="1"/>
  <c r="Q40" i="2"/>
  <c r="E51" i="2" s="1"/>
  <c r="P40" i="2"/>
  <c r="D51" i="2" s="1"/>
  <c r="O40" i="2"/>
  <c r="C51" i="2" s="1"/>
  <c r="R40" i="2"/>
  <c r="F51" i="2" s="1"/>
  <c r="T51" i="2"/>
  <c r="U75" i="2" s="1"/>
  <c r="U89" i="2" s="1"/>
  <c r="W37" i="2"/>
  <c r="X37" i="2"/>
  <c r="AA37" i="2"/>
  <c r="Y37" i="2"/>
  <c r="U37" i="2"/>
  <c r="Z37" i="2"/>
  <c r="V37" i="2"/>
  <c r="AD35" i="2"/>
  <c r="Q71" i="2" s="1"/>
  <c r="AD34" i="2"/>
  <c r="Q68" i="2" s="1"/>
  <c r="AD33" i="2"/>
  <c r="Q65" i="2" s="1"/>
  <c r="AD32" i="2"/>
  <c r="AC32" i="2"/>
  <c r="T53" i="2" l="1"/>
  <c r="R60" i="2"/>
  <c r="S60" i="2" s="1"/>
  <c r="Q62" i="2"/>
  <c r="R62" i="2" s="1"/>
  <c r="S62" i="2" s="1"/>
  <c r="Q61" i="2"/>
  <c r="R61" i="2" s="1"/>
  <c r="S61" i="2" s="1"/>
  <c r="AD37" i="2"/>
  <c r="Q77" i="2" s="1"/>
  <c r="AB35" i="2"/>
  <c r="AB36" i="2"/>
  <c r="AB33" i="2"/>
  <c r="AB34" i="2"/>
  <c r="AC34" i="2"/>
  <c r="Q67" i="2" s="1"/>
  <c r="AB37" i="2"/>
  <c r="AC33" i="2"/>
  <c r="Q64" i="2" s="1"/>
  <c r="AC37" i="2"/>
  <c r="Q76" i="2" s="1"/>
  <c r="AC35" i="2"/>
  <c r="T60" i="2" l="1"/>
  <c r="R71" i="2"/>
  <c r="S71" i="2" s="1"/>
  <c r="Q70" i="2"/>
  <c r="R77" i="2"/>
  <c r="S77" i="2" s="1"/>
  <c r="R76" i="2"/>
  <c r="Q72" i="2"/>
  <c r="R72" i="2" s="1"/>
  <c r="S72" i="2" s="1"/>
  <c r="W60" i="2"/>
  <c r="C54" i="2" s="1"/>
  <c r="R68" i="2"/>
  <c r="S68" i="2" s="1"/>
  <c r="R65" i="2"/>
  <c r="S65" i="2" s="1"/>
  <c r="R74" i="2"/>
  <c r="S74" i="2" s="1"/>
  <c r="Q69" i="2"/>
  <c r="R69" i="2" s="1"/>
  <c r="Q75" i="2"/>
  <c r="R75" i="2" s="1"/>
  <c r="S75" i="2" s="1"/>
  <c r="Q66" i="2"/>
  <c r="R66" i="2" s="1"/>
  <c r="Q63" i="2"/>
  <c r="R63" i="2" s="1"/>
  <c r="W75" i="2" l="1"/>
  <c r="C59" i="2" s="1"/>
  <c r="R73" i="2"/>
  <c r="S73" i="2" s="1"/>
  <c r="T72" i="2" s="1"/>
  <c r="S76" i="2"/>
  <c r="T75" i="2" s="1"/>
  <c r="S63" i="2"/>
  <c r="S66" i="2"/>
  <c r="S69" i="2"/>
  <c r="R70" i="2"/>
  <c r="W69" i="2" s="1"/>
  <c r="C57" i="2" s="1"/>
  <c r="R67" i="2"/>
  <c r="W66" i="2" s="1"/>
  <c r="C56" i="2" s="1"/>
  <c r="R64" i="2"/>
  <c r="W63" i="2" s="1"/>
  <c r="C55" i="2" s="1"/>
  <c r="V60" i="2" l="1"/>
  <c r="W72" i="2"/>
  <c r="C58" i="2" s="1"/>
  <c r="V75" i="2"/>
  <c r="X75" i="2" s="1"/>
  <c r="D59" i="2" s="1"/>
  <c r="V72" i="2"/>
  <c r="S70" i="2"/>
  <c r="T69" i="2" s="1"/>
  <c r="S67" i="2"/>
  <c r="T66" i="2" s="1"/>
  <c r="S64" i="2"/>
  <c r="T63" i="2" s="1"/>
  <c r="T89" i="2" l="1"/>
  <c r="X60" i="2"/>
  <c r="D54" i="2" s="1"/>
  <c r="X72" i="2"/>
  <c r="D58" i="2" s="1"/>
  <c r="V63" i="2"/>
  <c r="X63" i="2" s="1"/>
  <c r="D55" i="2" s="1"/>
  <c r="V66" i="2"/>
  <c r="V69" i="2"/>
  <c r="X69" i="2" s="1"/>
  <c r="D57" i="2" s="1"/>
  <c r="V89" i="2" l="1"/>
  <c r="C62" i="2" s="1"/>
  <c r="X66" i="2"/>
  <c r="D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F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<sst xmlns="http://schemas.openxmlformats.org/spreadsheetml/2006/main" count="155" uniqueCount="136">
  <si>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</si>
  <si>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</si>
  <si>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</si>
  <si>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</si>
  <si>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</si>
  <si>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</si>
  <si>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</si>
  <si>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</si>
  <si>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</si>
  <si>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 xml:space="preserve"> Western Kenya</t>
  </si>
  <si>
    <t>Fertilizer</t>
  </si>
  <si>
    <t>Abbreviation</t>
  </si>
  <si>
    <t>Nitrogen</t>
  </si>
  <si>
    <t>Phosphorous</t>
  </si>
  <si>
    <t>Potassium</t>
  </si>
  <si>
    <t>Price/kg</t>
  </si>
  <si>
    <t>Elevation &lt; 1600m</t>
  </si>
  <si>
    <t>CAN</t>
  </si>
  <si>
    <t>Producer Name:</t>
  </si>
  <si>
    <t>xxx</t>
  </si>
  <si>
    <t>TSP</t>
  </si>
  <si>
    <t>Prepared By:</t>
  </si>
  <si>
    <t>NP</t>
  </si>
  <si>
    <t>Date Prepared:</t>
  </si>
  <si>
    <t>KCl</t>
  </si>
  <si>
    <t>Crop Selection and Prices</t>
  </si>
  <si>
    <t>Crop</t>
  </si>
  <si>
    <t>Area Planted 
(Ac)*</t>
  </si>
  <si>
    <t>Expected 
Grain Value/kg †</t>
  </si>
  <si>
    <t xml:space="preserve">Maize  </t>
  </si>
  <si>
    <t xml:space="preserve">Fertilizer Constraints </t>
  </si>
  <si>
    <t>Fertilizer Total Maxes</t>
  </si>
  <si>
    <t>Rice, lowland</t>
  </si>
  <si>
    <t>CAN Min</t>
  </si>
  <si>
    <t>TSP Min</t>
  </si>
  <si>
    <t>NP Min</t>
  </si>
  <si>
    <t>KCl Min</t>
  </si>
  <si>
    <t>CAN Max</t>
  </si>
  <si>
    <t>TSP Max</t>
  </si>
  <si>
    <t>NP Max</t>
  </si>
  <si>
    <t>KCl Max</t>
  </si>
  <si>
    <t>N Sum</t>
  </si>
  <si>
    <t>P Sum</t>
  </si>
  <si>
    <t>K Sum</t>
  </si>
  <si>
    <t>Sorghum</t>
  </si>
  <si>
    <t>Banana</t>
  </si>
  <si>
    <t>Beans</t>
  </si>
  <si>
    <t>Groundnuts, unshelled</t>
  </si>
  <si>
    <t>Maize-bean intercrop</t>
  </si>
  <si>
    <t xml:space="preserve"> </t>
  </si>
  <si>
    <t>Total</t>
  </si>
  <si>
    <t>Fertilizer Selection and Prices</t>
  </si>
  <si>
    <t>Fertilizer Product</t>
  </si>
  <si>
    <t>N</t>
  </si>
  <si>
    <t>P2O5</t>
  </si>
  <si>
    <t>K2O</t>
  </si>
  <si>
    <t>Price/50 kg bag ¶*</t>
  </si>
  <si>
    <t>Triple super phosphate, TSP</t>
  </si>
  <si>
    <t>NP 23-23-0</t>
  </si>
  <si>
    <t>Murate of potash, KCL</t>
  </si>
  <si>
    <t>Mavuno</t>
  </si>
  <si>
    <t>Area Planted and Price</t>
  </si>
  <si>
    <t>Fertilizer Amount</t>
  </si>
  <si>
    <t>Fertilizer Units Applied/Ha</t>
  </si>
  <si>
    <t>Fertilizer Totals</t>
  </si>
  <si>
    <t>Ac Planted</t>
  </si>
  <si>
    <t>Value/kg</t>
  </si>
  <si>
    <t>CAN kg</t>
  </si>
  <si>
    <t xml:space="preserve">TSP kg </t>
  </si>
  <si>
    <t>NP kg</t>
  </si>
  <si>
    <t xml:space="preserve">KCl kg </t>
  </si>
  <si>
    <t>CAN kg (N)</t>
  </si>
  <si>
    <t>TSP kg (P)</t>
  </si>
  <si>
    <t>NP kg (N)</t>
  </si>
  <si>
    <t>NP kg (P)</t>
  </si>
  <si>
    <t>KCl kg (K)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</si>
  <si>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</si>
  <si>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</si>
  <si>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</si>
  <si>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</si>
  <si>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</si>
  <si>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kg/Ac</t>
  </si>
  <si>
    <t>KCL</t>
  </si>
  <si>
    <t xml:space="preserve">Fertilizer Cost </t>
  </si>
  <si>
    <t xml:space="preserve">TSP </t>
  </si>
  <si>
    <t xml:space="preserve">KCl </t>
  </si>
  <si>
    <t>Fertilizer Cost/Crop</t>
  </si>
  <si>
    <t>Total fertilizer needed</t>
  </si>
  <si>
    <t>Expected Average Effects per Ac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</si>
  <si>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</si>
  <si>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</si>
  <si>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</si>
  <si>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</si>
  <si>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</si>
  <si>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</si>
  <si>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</si>
  <si>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</si>
  <si>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</si>
  <si>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</si>
  <si>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</si>
  <si>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</si>
  <si>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</si>
  <si>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</si>
  <si>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</si>
  <si>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</si>
  <si>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Maize N</t>
  </si>
  <si>
    <t>Total Expected Net Returns to Fertilizer</t>
  </si>
  <si>
    <t>Maize P</t>
  </si>
  <si>
    <t>Total net returns to investment in fertilizer</t>
  </si>
  <si>
    <t>Maize K</t>
  </si>
  <si>
    <t>Rice N</t>
  </si>
  <si>
    <t>Rice P</t>
  </si>
  <si>
    <t>Rice K</t>
  </si>
  <si>
    <t>Sorghum N</t>
  </si>
  <si>
    <t>Sorghum P</t>
  </si>
  <si>
    <t>Sorghum K</t>
  </si>
  <si>
    <t>Credits: Catherine Kibunja et al. of Kenya Agricutural and Livestock Research Organaization, and Charles Wortmann, Jim Jansen and Matthew Stockton, Universirty of Nebraska-Lincoln, USA</t>
  </si>
  <si>
    <t>Banana N</t>
  </si>
  <si>
    <t>Banana P</t>
  </si>
  <si>
    <t>For information, contact: Catherine.kibunja@yahoo.com</t>
  </si>
  <si>
    <t>Banana K</t>
  </si>
  <si>
    <t>Bean N</t>
  </si>
  <si>
    <t>Acknowledgements: support of personnel of Kenya Agricultural and Livestock Research Organisation and funding support from the Alliance for a  Green Revolution in Africa--Soil Health Programme, and University of Nebraska-Lincoln.</t>
  </si>
  <si>
    <t>Bean P</t>
  </si>
  <si>
    <t>Bean K</t>
  </si>
  <si>
    <t>© 2015, The Board of Regents of the University of Nebraska. All rights reserved.</t>
  </si>
  <si>
    <t>Groundnut N</t>
  </si>
  <si>
    <t>Groundnut P</t>
  </si>
  <si>
    <t>Groundnut K</t>
  </si>
  <si>
    <t>Maize-bean N</t>
  </si>
  <si>
    <t>Maize-bean P</t>
  </si>
  <si>
    <t>Maize-bean K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</si>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</sst>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  <font>
      <sz val="14"/>
      <color theme="1" tint="4.9989318521683403E-2"/>
      <name val="Arial"/>
      <family val="2"/>
    </font>
    <font>
      <sz val="11"/>
      <name val="Arial"/>
      <family val="2"/>
    </font>
    <font>
      <b/>
      <sz val="14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9" fontId="5" fillId="0" borderId="3" xfId="4" applyFont="1" applyFill="1" applyBorder="1" applyAlignment="1" applyProtection="1">
      <alignment horizontal="center"/>
      <protection locked="0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9" xfId="0" applyFont="1" applyBorder="1"/>
    <xf numFmtId="0" fontId="13" fillId="0" borderId="8" xfId="0" applyFont="1" applyBorder="1" applyAlignment="1">
      <alignment horizontal="center"/>
    </xf>
    <xf numFmtId="165" fontId="13" fillId="0" borderId="8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7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13" fillId="0" borderId="7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3" fontId="13" fillId="0" borderId="11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16" fillId="0" borderId="0" xfId="0" applyFont="1" applyAlignment="1">
      <alignment horizontal="right" vertical="center"/>
    </xf>
    <xf numFmtId="16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4" fontId="13" fillId="0" borderId="0" xfId="0" applyNumberFormat="1" applyFont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65" fontId="13" fillId="0" borderId="15" xfId="4" applyNumberFormat="1" applyFont="1" applyFill="1" applyBorder="1" applyAlignment="1">
      <alignment horizontal="center"/>
    </xf>
    <xf numFmtId="165" fontId="13" fillId="0" borderId="9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 wrapText="1"/>
    </xf>
    <xf numFmtId="0" fontId="18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0" fontId="19" fillId="0" borderId="10" xfId="0" applyFont="1" applyBorder="1"/>
    <xf numFmtId="2" fontId="19" fillId="0" borderId="10" xfId="0" applyNumberFormat="1" applyFont="1" applyBorder="1" applyAlignment="1">
      <alignment horizontal="center"/>
    </xf>
    <xf numFmtId="2" fontId="19" fillId="0" borderId="10" xfId="0" applyNumberFormat="1" applyFont="1" applyBorder="1"/>
    <xf numFmtId="1" fontId="13" fillId="0" borderId="10" xfId="0" applyNumberFormat="1" applyFont="1" applyBorder="1"/>
    <xf numFmtId="0" fontId="17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0" fontId="19" fillId="0" borderId="0" xfId="0" applyFont="1"/>
    <xf numFmtId="4" fontId="13" fillId="0" borderId="10" xfId="0" applyNumberFormat="1" applyFont="1" applyBorder="1" applyAlignment="1">
      <alignment horizontal="center"/>
    </xf>
    <xf numFmtId="3" fontId="13" fillId="0" borderId="10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0" fontId="4" fillId="6" borderId="3" xfId="1" applyFont="1" applyFill="1" applyBorder="1"/>
    <xf numFmtId="1" fontId="5" fillId="5" borderId="10" xfId="1" applyNumberFormat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1" fontId="13" fillId="0" borderId="8" xfId="0" applyNumberFormat="1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6" fillId="4" borderId="3" xfId="0" applyFont="1" applyFill="1" applyBorder="1"/>
    <xf numFmtId="0" fontId="2" fillId="0" borderId="0" xfId="0" applyFont="1"/>
    <xf numFmtId="0" fontId="20" fillId="7" borderId="3" xfId="0" applyFont="1" applyFill="1" applyBorder="1" applyAlignment="1" applyProtection="1">
      <alignment horizontal="center"/>
      <protection locked="0"/>
    </xf>
    <xf numFmtId="0" fontId="20" fillId="9" borderId="3" xfId="0" applyFont="1" applyFill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5" fillId="4" borderId="2" xfId="1" applyFont="1" applyFill="1" applyBorder="1" applyAlignment="1">
      <alignment horizontal="left"/>
    </xf>
    <xf numFmtId="0" fontId="21" fillId="0" borderId="10" xfId="1" applyFont="1" applyBorder="1" applyAlignment="1">
      <alignment horizontal="left"/>
    </xf>
    <xf numFmtId="0" fontId="5" fillId="10" borderId="6" xfId="1" applyFont="1" applyFill="1" applyBorder="1" applyAlignment="1">
      <alignment horizontal="left"/>
    </xf>
    <xf numFmtId="0" fontId="5" fillId="10" borderId="2" xfId="1" applyFont="1" applyFill="1" applyBorder="1" applyAlignment="1">
      <alignment horizontal="left" vertical="center"/>
    </xf>
    <xf numFmtId="2" fontId="13" fillId="0" borderId="4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21" fillId="0" borderId="10" xfId="0" applyFont="1" applyBorder="1"/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4" fillId="5" borderId="13" xfId="1" applyFont="1" applyFill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13" fillId="0" borderId="13" xfId="0" applyFont="1" applyBorder="1" applyAlignment="1">
      <alignment horizontal="center"/>
    </xf>
    <xf numFmtId="0" fontId="8" fillId="8" borderId="0" xfId="1" applyFont="1" applyFill="1" applyAlignment="1">
      <alignment horizontal="left" vertical="top" wrapText="1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DDF456"/>
      <color rgb="FFFFBF8F"/>
      <color rgb="FFFABF8F"/>
      <color rgb="FFFF0000"/>
      <color rgb="FFF00000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320318</xdr:colOff>
      <xdr:row>0</xdr:row>
      <xdr:rowOff>42341</xdr:rowOff>
    </xdr:from>
    <xdr:to>
      <xdr:col>5</xdr:col>
      <xdr:colOff>306918</xdr:colOff>
      <xdr:row>7</xdr:row>
      <xdr:rowOff>53307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6401" y="42341"/>
          <a:ext cx="1891600" cy="127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82550</xdr:rowOff>
        </xdr:from>
        <xdr:to>
          <xdr:col>1</xdr:col>
          <xdr:colOff>1663700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425450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1758950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101600</xdr:rowOff>
        </xdr:from>
        <xdr:to>
          <xdr:col>1</xdr:col>
          <xdr:colOff>1663700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101600</xdr:rowOff>
        </xdr:from>
        <xdr:to>
          <xdr:col>11</xdr:col>
          <xdr:colOff>1663700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2349500</xdr:colOff>
      <xdr:row>0</xdr:row>
      <xdr:rowOff>52917</xdr:rowOff>
    </xdr:from>
    <xdr:to>
      <xdr:col>3</xdr:col>
      <xdr:colOff>285750</xdr:colOff>
      <xdr:row>7</xdr:row>
      <xdr:rowOff>42333</xdr:rowOff>
    </xdr:to>
    <xdr:pic>
      <xdr:nvPicPr>
        <xdr:cNvPr id="13" name="Picture 12" descr="F:\kalro logo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92500" y="52917"/>
          <a:ext cx="1439333" cy="1248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topLeftCell="A25" workbookViewId="0"/>
  </sheetViews>
  <sheetFormatPr defaultRowHeight="14.5" x14ac:dyDescent="0.35"/>
  <sheetData>
    <row r="1" spans="1:21" ht="18.5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ht="18.5" x14ac:dyDescent="0.45">
      <c r="A2" s="10"/>
      <c r="B2" s="25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8.5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8.5" x14ac:dyDescent="0.45">
      <c r="A4" s="10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spans="1:21" ht="18.5" x14ac:dyDescent="0.45">
      <c r="A5" s="10"/>
      <c r="B5" s="10" t="s">
        <v>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1" ht="18.5" x14ac:dyDescent="0.45">
      <c r="A6" s="10"/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18.5" x14ac:dyDescent="0.45">
      <c r="A7" s="10"/>
      <c r="B7" s="10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8.5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8.5" x14ac:dyDescent="0.45">
      <c r="A9" s="10"/>
      <c r="B9" s="10" t="s">
        <v>5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8.5" x14ac:dyDescent="0.45">
      <c r="A10" s="10"/>
      <c r="B10" s="10" t="s">
        <v>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8.5" x14ac:dyDescent="0.45">
      <c r="A11" s="10"/>
      <c r="B11" s="10" t="s">
        <v>7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8.5" x14ac:dyDescent="0.45">
      <c r="A12" s="10"/>
      <c r="B12" s="10" t="s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8.5" x14ac:dyDescent="0.4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8.5" x14ac:dyDescent="0.4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8.5" x14ac:dyDescent="0.4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8.5" x14ac:dyDescent="0.4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5" customHeight="1" x14ac:dyDescent="0.4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8.5" x14ac:dyDescent="0.4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8.5" x14ac:dyDescent="0.4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8.5" x14ac:dyDescent="0.4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8.5" x14ac:dyDescent="0.4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8.5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8.5" x14ac:dyDescent="0.4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8.5" x14ac:dyDescent="0.4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8.5" x14ac:dyDescent="0.4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8.5" x14ac:dyDescent="0.4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8.5" x14ac:dyDescent="0.4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8.5" x14ac:dyDescent="0.4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8.5" x14ac:dyDescent="0.4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8.5" x14ac:dyDescent="0.4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8.5" x14ac:dyDescent="0.4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8.5" x14ac:dyDescent="0.4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ht="18.5" x14ac:dyDescent="0.4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18.5" x14ac:dyDescent="0.4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18.5" x14ac:dyDescent="0.4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8.5" x14ac:dyDescent="0.4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18.5" x14ac:dyDescent="0.4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8.5" x14ac:dyDescent="0.4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18.5" x14ac:dyDescent="0.4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18.5" x14ac:dyDescent="0.4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18.5" x14ac:dyDescent="0.4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89"/>
  <sheetViews>
    <sheetView showGridLines="0" tabSelected="1" topLeftCell="A39" zoomScale="90" zoomScaleNormal="90" workbookViewId="0">
      <selection activeCell="I49" sqref="I49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4.7265625" style="43" customWidth="1"/>
    <col min="4" max="4" width="15" style="43" customWidth="1"/>
    <col min="5" max="6" width="13.453125" style="43" customWidth="1"/>
    <col min="7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5429687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2" width="11.54296875" style="43" hidden="1" customWidth="1"/>
    <col min="33" max="33" width="11.81640625" style="43" hidden="1" customWidth="1"/>
    <col min="34" max="35" width="11.5429687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114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120" t="s">
        <v>9</v>
      </c>
      <c r="E8" s="120"/>
      <c r="F8" s="120"/>
      <c r="G8" s="42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49" t="s">
        <v>15</v>
      </c>
      <c r="U8" s="118"/>
      <c r="AJ8" s="42"/>
      <c r="AK8" s="42"/>
    </row>
    <row r="9" spans="1:37" ht="20" x14ac:dyDescent="0.4">
      <c r="A9" s="42"/>
      <c r="B9" s="42"/>
      <c r="C9" s="42"/>
      <c r="D9" s="120" t="s">
        <v>16</v>
      </c>
      <c r="E9" s="120"/>
      <c r="F9" s="120"/>
      <c r="G9" s="42"/>
      <c r="H9" s="42"/>
      <c r="I9" s="42"/>
      <c r="J9" s="42"/>
      <c r="K9" s="42"/>
      <c r="N9" s="20" t="str">
        <f>B26</f>
        <v>CAN</v>
      </c>
      <c r="O9" s="21"/>
      <c r="P9" s="49" t="s">
        <v>17</v>
      </c>
      <c r="Q9" s="50">
        <f>IF(OR(C26=0,C26="%"),0,C26)</f>
        <v>0.26</v>
      </c>
      <c r="R9" s="99">
        <f>IF(OR(D26=0,D26="%"),0,D26*0.437)</f>
        <v>0</v>
      </c>
      <c r="S9" s="100">
        <f>IF(OR(E26=0,E26="%"),0,E26*0.83)</f>
        <v>0</v>
      </c>
      <c r="T9" s="116">
        <f>IF(F26&lt;=0,0,(F26/50))</f>
        <v>52</v>
      </c>
      <c r="U9" s="112"/>
      <c r="AJ9" s="42"/>
      <c r="AK9" s="42"/>
    </row>
    <row r="10" spans="1:37" ht="18" x14ac:dyDescent="0.4">
      <c r="A10" s="42"/>
      <c r="B10" s="51" t="s">
        <v>18</v>
      </c>
      <c r="C10" s="162" t="s">
        <v>19</v>
      </c>
      <c r="D10" s="162"/>
      <c r="E10" s="9"/>
      <c r="F10" s="42"/>
      <c r="G10" s="42"/>
      <c r="H10" s="42"/>
      <c r="I10" s="42"/>
      <c r="J10" s="42"/>
      <c r="K10" s="42"/>
      <c r="N10" s="20" t="str">
        <f t="shared" ref="N10:N13" si="0">B27</f>
        <v>Triple super phosphate, TSP</v>
      </c>
      <c r="O10" s="1"/>
      <c r="P10" s="52" t="s">
        <v>20</v>
      </c>
      <c r="Q10" s="53">
        <f t="shared" ref="Q10:Q13" si="1">IF(OR(C27=0,C27="%"),0,C27)</f>
        <v>0</v>
      </c>
      <c r="R10" s="101">
        <f>IF(OR(D27=0,D27="%"),0,D27*0.437)</f>
        <v>0.20102</v>
      </c>
      <c r="S10" s="102">
        <f>IF(OR(E27=0,E27="%"),0,E27*0.83)</f>
        <v>0</v>
      </c>
      <c r="T10" s="113">
        <f>IF(F27&lt;=0,0,(F27/50))</f>
        <v>0</v>
      </c>
      <c r="U10" s="112"/>
      <c r="AJ10" s="42"/>
      <c r="AK10" s="42"/>
    </row>
    <row r="11" spans="1:37" ht="18" x14ac:dyDescent="0.4">
      <c r="A11" s="42"/>
      <c r="B11" s="51" t="s">
        <v>21</v>
      </c>
      <c r="C11" s="162"/>
      <c r="D11" s="162"/>
      <c r="E11" s="14"/>
      <c r="F11" s="42"/>
      <c r="G11" s="42"/>
      <c r="H11" s="42"/>
      <c r="I11" s="42"/>
      <c r="J11" s="42"/>
      <c r="K11" s="42"/>
      <c r="N11" s="20" t="str">
        <f t="shared" si="0"/>
        <v>NP 23-23-0</v>
      </c>
      <c r="O11" s="1"/>
      <c r="P11" s="52" t="s">
        <v>22</v>
      </c>
      <c r="Q11" s="115">
        <f>IF(OR(C28=0,C28="%"),0,C28)</f>
        <v>0.23</v>
      </c>
      <c r="R11" s="101">
        <f>IF(OR(D28=0,D28="%"),0,D28*0.437)</f>
        <v>0.10051</v>
      </c>
      <c r="S11" s="102">
        <f>IF(OR(E28=0,E28="%"),0,E28*0.83)</f>
        <v>0</v>
      </c>
      <c r="T11" s="113">
        <f>IF(F28&lt;=0,0,(F28/50))</f>
        <v>64</v>
      </c>
      <c r="U11" s="112"/>
      <c r="AJ11" s="42"/>
      <c r="AK11" s="42"/>
    </row>
    <row r="12" spans="1:37" ht="18" x14ac:dyDescent="0.4">
      <c r="A12" s="42"/>
      <c r="B12" s="51" t="s">
        <v>23</v>
      </c>
      <c r="C12" s="163">
        <f ca="1">TODAY()</f>
        <v>46028</v>
      </c>
      <c r="D12" s="163"/>
      <c r="E12" s="15"/>
      <c r="F12" s="42"/>
      <c r="G12" s="42"/>
      <c r="H12" s="42"/>
      <c r="I12" s="42"/>
      <c r="J12" s="42"/>
      <c r="K12" s="42"/>
      <c r="N12" s="20" t="str">
        <f t="shared" si="0"/>
        <v>Murate of potash, KCL</v>
      </c>
      <c r="O12" s="22"/>
      <c r="P12" s="55" t="s">
        <v>24</v>
      </c>
      <c r="Q12" s="53">
        <f t="shared" si="1"/>
        <v>0</v>
      </c>
      <c r="R12" s="101">
        <f>IF(OR(D29=0,D29="%"),0,D29*0.437)</f>
        <v>0</v>
      </c>
      <c r="S12" s="102">
        <f>IF(OR(E29=0,E29="%"),0,E29*0.83)</f>
        <v>0.49799999999999994</v>
      </c>
      <c r="T12" s="113">
        <f>IF(F29&lt;=0,0,(F29/50))</f>
        <v>0</v>
      </c>
      <c r="U12" s="112"/>
      <c r="AJ12" s="42"/>
      <c r="AK12" s="42"/>
    </row>
    <row r="13" spans="1:37" x14ac:dyDescent="0.3">
      <c r="A13" s="42"/>
      <c r="B13" s="42"/>
      <c r="C13" s="42"/>
      <c r="D13" s="42"/>
      <c r="E13" s="15"/>
      <c r="F13" s="42"/>
      <c r="G13" s="42"/>
      <c r="H13" s="42"/>
      <c r="I13" s="42"/>
      <c r="J13" s="42"/>
      <c r="K13" s="42"/>
      <c r="N13" s="20" t="str">
        <f t="shared" si="0"/>
        <v>Mavuno</v>
      </c>
      <c r="O13" s="57"/>
      <c r="P13" s="58" t="str">
        <f>LEFT(N13,4)</f>
        <v>Mavu</v>
      </c>
      <c r="Q13" s="59">
        <f t="shared" si="1"/>
        <v>0.1</v>
      </c>
      <c r="R13" s="103">
        <f>IF(OR(D30=0,D30="%"),0,D30*0.437)</f>
        <v>0.11362</v>
      </c>
      <c r="S13" s="104">
        <f>IF(OR(E30=0,E30="%"),0,E30*0.83)</f>
        <v>8.3000000000000004E-2</v>
      </c>
      <c r="T13" s="117">
        <f>IF(F30&lt;=0,0,(F30/50))</f>
        <v>64</v>
      </c>
      <c r="U13" s="112"/>
      <c r="AJ13" s="42"/>
      <c r="AK13" s="42"/>
    </row>
    <row r="14" spans="1:37" ht="18" x14ac:dyDescent="0.4">
      <c r="A14" s="42"/>
      <c r="B14" s="171" t="s">
        <v>25</v>
      </c>
      <c r="C14" s="172"/>
      <c r="D14" s="173"/>
      <c r="E14" s="15"/>
      <c r="F14" s="42"/>
      <c r="G14" s="42"/>
      <c r="H14" s="42"/>
      <c r="I14" s="42"/>
      <c r="J14" s="42"/>
      <c r="K14" s="42"/>
      <c r="P14" s="60"/>
      <c r="Q14" s="54"/>
      <c r="R14" s="54"/>
      <c r="S14" s="54"/>
      <c r="T14" s="61"/>
      <c r="AJ14" s="42"/>
      <c r="AK14" s="42"/>
    </row>
    <row r="15" spans="1:37" ht="54" x14ac:dyDescent="0.3">
      <c r="A15" s="42"/>
      <c r="B15" s="38" t="s">
        <v>26</v>
      </c>
      <c r="C15" s="2" t="s">
        <v>27</v>
      </c>
      <c r="D15" s="3" t="s">
        <v>28</v>
      </c>
      <c r="E15" s="15"/>
      <c r="F15" s="42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4" t="s">
        <v>29</v>
      </c>
      <c r="C16" s="31">
        <v>2</v>
      </c>
      <c r="D16" s="31">
        <v>25</v>
      </c>
      <c r="E16" s="15"/>
      <c r="F16" s="42"/>
      <c r="G16" s="42"/>
      <c r="H16" s="42"/>
      <c r="I16" s="42"/>
      <c r="J16" s="42"/>
      <c r="K16" s="42"/>
      <c r="N16" s="168" t="s">
        <v>30</v>
      </c>
      <c r="O16" s="169"/>
      <c r="P16" s="169"/>
      <c r="Q16" s="169"/>
      <c r="R16" s="169"/>
      <c r="S16" s="169"/>
      <c r="T16" s="169"/>
      <c r="U16" s="192"/>
      <c r="V16" s="192"/>
      <c r="W16" s="192"/>
      <c r="X16" s="170"/>
      <c r="Y16" s="168" t="s">
        <v>31</v>
      </c>
      <c r="Z16" s="169"/>
      <c r="AA16" s="187"/>
      <c r="AJ16" s="42"/>
      <c r="AK16" s="42"/>
    </row>
    <row r="17" spans="1:37" ht="17.5" x14ac:dyDescent="0.35">
      <c r="A17" s="42"/>
      <c r="B17" s="4" t="s">
        <v>32</v>
      </c>
      <c r="C17" s="31">
        <v>1</v>
      </c>
      <c r="D17" s="31">
        <v>25</v>
      </c>
      <c r="E17" s="15"/>
      <c r="F17" s="42"/>
      <c r="G17" s="42"/>
      <c r="H17" s="42"/>
      <c r="I17" s="42"/>
      <c r="J17" s="42"/>
      <c r="K17" s="42"/>
      <c r="N17" s="56" t="s">
        <v>26</v>
      </c>
      <c r="O17" s="52" t="s">
        <v>33</v>
      </c>
      <c r="P17" s="60" t="s">
        <v>34</v>
      </c>
      <c r="Q17" s="60" t="s">
        <v>35</v>
      </c>
      <c r="R17" s="60" t="s">
        <v>36</v>
      </c>
      <c r="S17" s="60" t="str">
        <f>P13&amp;" Min"</f>
        <v>Mavu Min</v>
      </c>
      <c r="T17" s="62" t="s">
        <v>37</v>
      </c>
      <c r="U17" s="63" t="s">
        <v>38</v>
      </c>
      <c r="V17" s="63" t="s">
        <v>39</v>
      </c>
      <c r="W17" s="63" t="s">
        <v>40</v>
      </c>
      <c r="X17" s="64" t="str">
        <f>P13&amp;" Max"</f>
        <v>Mavu Max</v>
      </c>
      <c r="Y17" s="52" t="s">
        <v>41</v>
      </c>
      <c r="Z17" s="60" t="s">
        <v>42</v>
      </c>
      <c r="AA17" s="48" t="s">
        <v>43</v>
      </c>
      <c r="AJ17" s="42"/>
      <c r="AK17" s="42"/>
    </row>
    <row r="18" spans="1:37" ht="17.5" x14ac:dyDescent="0.35">
      <c r="A18" s="42"/>
      <c r="B18" s="4" t="s">
        <v>44</v>
      </c>
      <c r="C18" s="31">
        <v>1</v>
      </c>
      <c r="D18" s="31">
        <v>25</v>
      </c>
      <c r="E18" s="42"/>
      <c r="F18" s="42"/>
      <c r="G18" s="42"/>
      <c r="H18" s="42"/>
      <c r="I18" s="42"/>
      <c r="J18" s="42"/>
      <c r="K18" s="42"/>
      <c r="N18" s="155" t="str">
        <f>B16</f>
        <v xml:space="preserve">Maize  </v>
      </c>
      <c r="O18" s="65">
        <v>0</v>
      </c>
      <c r="P18" s="66">
        <v>0</v>
      </c>
      <c r="Q18" s="66">
        <v>0</v>
      </c>
      <c r="R18" s="66">
        <v>0</v>
      </c>
      <c r="S18" s="66">
        <v>0</v>
      </c>
      <c r="T18" s="69">
        <f>IF($F$26&lt;=0,0,350)</f>
        <v>350</v>
      </c>
      <c r="U18" s="70">
        <f>IF($F$27&lt;=0,0,100)</f>
        <v>0</v>
      </c>
      <c r="V18" s="70">
        <f>IF($F$28&lt;=0,0,300)</f>
        <v>300</v>
      </c>
      <c r="W18" s="70">
        <f t="shared" ref="W18:W23" si="2">IF($F$29&lt;=0,0,100)</f>
        <v>0</v>
      </c>
      <c r="X18" s="71">
        <f>IF($F$30&lt;=0,0,200)</f>
        <v>200</v>
      </c>
      <c r="Y18" s="67">
        <v>150</v>
      </c>
      <c r="Z18" s="67">
        <v>50</v>
      </c>
      <c r="AA18" s="68">
        <v>50</v>
      </c>
      <c r="AJ18" s="42"/>
      <c r="AK18" s="42"/>
    </row>
    <row r="19" spans="1:37" ht="17.5" x14ac:dyDescent="0.35">
      <c r="A19" s="42"/>
      <c r="B19" s="4" t="s">
        <v>45</v>
      </c>
      <c r="C19" s="31">
        <v>1</v>
      </c>
      <c r="D19" s="31">
        <v>20</v>
      </c>
      <c r="E19" s="15"/>
      <c r="F19" s="42"/>
      <c r="G19" s="42"/>
      <c r="H19" s="42"/>
      <c r="I19" s="42"/>
      <c r="J19" s="42"/>
      <c r="K19" s="42"/>
      <c r="N19" s="155" t="str">
        <f t="shared" ref="N19:N24" si="3">B17</f>
        <v>Rice, lowland</v>
      </c>
      <c r="O19" s="69">
        <v>0</v>
      </c>
      <c r="P19" s="70">
        <v>0</v>
      </c>
      <c r="Q19" s="70">
        <v>0</v>
      </c>
      <c r="R19" s="70">
        <v>0</v>
      </c>
      <c r="S19" s="70">
        <v>0</v>
      </c>
      <c r="T19" s="69">
        <f>IF($F$26&lt;=0,0,350)</f>
        <v>350</v>
      </c>
      <c r="U19" s="70">
        <f t="shared" ref="U19:U22" si="4">IF($F$27&lt;=0,0,100)</f>
        <v>0</v>
      </c>
      <c r="V19" s="70">
        <f t="shared" ref="V19:V24" si="5">IF($F$28&lt;=0,0,300)</f>
        <v>300</v>
      </c>
      <c r="W19" s="70">
        <f t="shared" si="2"/>
        <v>0</v>
      </c>
      <c r="X19" s="71">
        <f>IF($F$30&lt;=0,0,200)</f>
        <v>200</v>
      </c>
      <c r="Y19" s="72">
        <v>150</v>
      </c>
      <c r="Z19" s="72">
        <v>50</v>
      </c>
      <c r="AA19" s="73">
        <v>50</v>
      </c>
      <c r="AJ19" s="42"/>
      <c r="AK19" s="42"/>
    </row>
    <row r="20" spans="1:37" ht="17.5" x14ac:dyDescent="0.35">
      <c r="A20" s="42"/>
      <c r="B20" s="4" t="s">
        <v>46</v>
      </c>
      <c r="C20" s="31">
        <v>1</v>
      </c>
      <c r="D20" s="31">
        <v>60</v>
      </c>
      <c r="E20" s="15"/>
      <c r="F20" s="42"/>
      <c r="G20" s="42"/>
      <c r="H20" s="42"/>
      <c r="I20" s="42"/>
      <c r="J20" s="42"/>
      <c r="K20" s="42"/>
      <c r="N20" s="155" t="str">
        <f t="shared" si="3"/>
        <v>Sorghum</v>
      </c>
      <c r="O20" s="69">
        <v>0</v>
      </c>
      <c r="P20" s="70">
        <v>0</v>
      </c>
      <c r="Q20" s="70">
        <v>0</v>
      </c>
      <c r="R20" s="70">
        <v>0</v>
      </c>
      <c r="S20" s="70">
        <v>0</v>
      </c>
      <c r="T20" s="69">
        <f>IF($F$26&lt;=0,0,250)</f>
        <v>250</v>
      </c>
      <c r="U20" s="70">
        <f t="shared" si="4"/>
        <v>0</v>
      </c>
      <c r="V20" s="70">
        <f t="shared" si="5"/>
        <v>300</v>
      </c>
      <c r="W20" s="70">
        <f t="shared" si="2"/>
        <v>0</v>
      </c>
      <c r="X20" s="71">
        <f>IF($F$30&lt;=0,0,200)</f>
        <v>200</v>
      </c>
      <c r="Y20" s="72">
        <v>120</v>
      </c>
      <c r="Z20" s="72">
        <v>50</v>
      </c>
      <c r="AA20" s="73">
        <v>50</v>
      </c>
      <c r="AJ20" s="42"/>
      <c r="AK20" s="42"/>
    </row>
    <row r="21" spans="1:37" ht="17.5" x14ac:dyDescent="0.35">
      <c r="A21" s="42"/>
      <c r="B21" s="154" t="s">
        <v>47</v>
      </c>
      <c r="C21" s="153">
        <v>1</v>
      </c>
      <c r="D21" s="31">
        <v>55</v>
      </c>
      <c r="E21" s="15"/>
      <c r="F21" s="42"/>
      <c r="G21" s="42"/>
      <c r="H21" s="42"/>
      <c r="I21" s="42"/>
      <c r="J21" s="42"/>
      <c r="K21" s="42"/>
      <c r="N21" s="155" t="str">
        <f t="shared" si="3"/>
        <v>Banana</v>
      </c>
      <c r="O21" s="69">
        <v>0</v>
      </c>
      <c r="P21" s="70">
        <v>0</v>
      </c>
      <c r="Q21" s="70">
        <v>0</v>
      </c>
      <c r="R21" s="70">
        <v>0</v>
      </c>
      <c r="S21" s="70">
        <v>0</v>
      </c>
      <c r="T21" s="69">
        <f t="shared" ref="T21:T22" si="6">IF($F$26&lt;=0,0,250)</f>
        <v>250</v>
      </c>
      <c r="U21" s="70">
        <f t="shared" si="4"/>
        <v>0</v>
      </c>
      <c r="V21" s="70">
        <f t="shared" si="5"/>
        <v>300</v>
      </c>
      <c r="W21" s="70">
        <f>IF($F$29&lt;=0,0,200)</f>
        <v>0</v>
      </c>
      <c r="X21" s="71">
        <f>IF($F$30&lt;=0,0,200)</f>
        <v>200</v>
      </c>
      <c r="Y21" s="72">
        <v>120</v>
      </c>
      <c r="Z21" s="72">
        <v>50</v>
      </c>
      <c r="AA21" s="73">
        <v>50</v>
      </c>
      <c r="AJ21" s="42"/>
      <c r="AK21" s="42"/>
    </row>
    <row r="22" spans="1:37" ht="18.5" x14ac:dyDescent="0.45">
      <c r="A22" s="42"/>
      <c r="B22" s="149" t="s">
        <v>48</v>
      </c>
      <c r="C22" s="151">
        <v>2</v>
      </c>
      <c r="D22" s="152" t="s">
        <v>49</v>
      </c>
      <c r="E22" s="42"/>
      <c r="F22" s="42"/>
      <c r="G22" s="42"/>
      <c r="H22" s="42"/>
      <c r="I22" s="42"/>
      <c r="J22" s="42"/>
      <c r="K22" s="42"/>
      <c r="N22" s="155" t="str">
        <f t="shared" si="3"/>
        <v>Beans</v>
      </c>
      <c r="O22" s="69">
        <v>0</v>
      </c>
      <c r="P22" s="70">
        <v>0</v>
      </c>
      <c r="Q22" s="70">
        <v>0</v>
      </c>
      <c r="R22" s="70">
        <v>0</v>
      </c>
      <c r="S22" s="70">
        <v>0</v>
      </c>
      <c r="T22" s="69">
        <f t="shared" si="6"/>
        <v>250</v>
      </c>
      <c r="U22" s="70">
        <f t="shared" si="4"/>
        <v>0</v>
      </c>
      <c r="V22" s="70">
        <f t="shared" si="5"/>
        <v>300</v>
      </c>
      <c r="W22" s="70">
        <f t="shared" si="2"/>
        <v>0</v>
      </c>
      <c r="X22" s="71">
        <f t="shared" ref="X22:X23" si="7">IF($F$30&lt;=0,0,200)</f>
        <v>200</v>
      </c>
      <c r="Y22" s="79">
        <v>120</v>
      </c>
      <c r="Z22" s="72">
        <v>50</v>
      </c>
      <c r="AA22" s="73">
        <v>50</v>
      </c>
      <c r="AJ22" s="42"/>
      <c r="AK22" s="42"/>
    </row>
    <row r="23" spans="1:37" ht="18" x14ac:dyDescent="0.4">
      <c r="A23" s="42"/>
      <c r="B23" s="142" t="s">
        <v>50</v>
      </c>
      <c r="C23" s="122">
        <f>SUM(C16:C22)</f>
        <v>9</v>
      </c>
      <c r="D23" s="121"/>
      <c r="E23" s="15"/>
      <c r="F23" s="42"/>
      <c r="G23" s="42"/>
      <c r="H23" s="42"/>
      <c r="I23" s="42"/>
      <c r="J23" s="42"/>
      <c r="K23" s="42"/>
      <c r="N23" s="155" t="str">
        <f t="shared" si="3"/>
        <v>Groundnuts, unshelled</v>
      </c>
      <c r="O23" s="123">
        <v>0</v>
      </c>
      <c r="P23" s="123">
        <v>0</v>
      </c>
      <c r="Q23" s="123">
        <v>0</v>
      </c>
      <c r="R23" s="123">
        <v>0</v>
      </c>
      <c r="S23" s="123">
        <v>0</v>
      </c>
      <c r="T23" s="144">
        <f t="shared" ref="T23" si="8">IF($F$26&lt;=0,0,100)</f>
        <v>100</v>
      </c>
      <c r="U23" s="145">
        <f>IF($F$27&lt;=0,0,200)</f>
        <v>0</v>
      </c>
      <c r="V23" s="70">
        <f t="shared" si="5"/>
        <v>300</v>
      </c>
      <c r="W23" s="145">
        <f t="shared" si="2"/>
        <v>0</v>
      </c>
      <c r="X23" s="146">
        <f t="shared" si="7"/>
        <v>200</v>
      </c>
      <c r="Y23" s="147">
        <v>50</v>
      </c>
      <c r="Z23" s="74">
        <v>50</v>
      </c>
      <c r="AA23" s="75">
        <v>50</v>
      </c>
      <c r="AJ23" s="42"/>
      <c r="AK23" s="42"/>
    </row>
    <row r="24" spans="1:37" ht="18" x14ac:dyDescent="0.4">
      <c r="A24" s="42"/>
      <c r="B24" s="164" t="s">
        <v>51</v>
      </c>
      <c r="C24" s="165"/>
      <c r="D24" s="165"/>
      <c r="E24" s="165"/>
      <c r="F24" s="166"/>
      <c r="G24" s="42"/>
      <c r="H24" s="42"/>
      <c r="I24" s="42"/>
      <c r="J24" s="42"/>
      <c r="K24" s="42"/>
      <c r="N24" s="155" t="str">
        <f t="shared" si="3"/>
        <v>Maize-bean intercrop</v>
      </c>
      <c r="O24" s="126">
        <v>0</v>
      </c>
      <c r="P24" s="126">
        <v>0</v>
      </c>
      <c r="Q24" s="126">
        <v>0</v>
      </c>
      <c r="R24" s="126">
        <v>0</v>
      </c>
      <c r="S24" s="126">
        <v>0</v>
      </c>
      <c r="T24" s="127">
        <f>IF($F$26&lt;=0,0,250)</f>
        <v>250</v>
      </c>
      <c r="U24" s="125">
        <f>IF($F$27&lt;=0,0,150)</f>
        <v>0</v>
      </c>
      <c r="V24" s="70">
        <f t="shared" si="5"/>
        <v>300</v>
      </c>
      <c r="W24" s="125">
        <f>IF($F$29&lt;=0,0,100)</f>
        <v>0</v>
      </c>
      <c r="X24" s="125">
        <f>IF($F$30&lt;=0,0,200)</f>
        <v>200</v>
      </c>
      <c r="Y24" s="126">
        <v>150</v>
      </c>
      <c r="Z24" s="126">
        <v>50</v>
      </c>
      <c r="AA24" s="126">
        <v>50</v>
      </c>
      <c r="AJ24" s="42"/>
      <c r="AK24" s="42"/>
    </row>
    <row r="25" spans="1:37" ht="41.25" customHeight="1" x14ac:dyDescent="0.3">
      <c r="A25" s="42"/>
      <c r="B25" s="37" t="s">
        <v>52</v>
      </c>
      <c r="C25" s="17" t="s">
        <v>53</v>
      </c>
      <c r="D25" s="18" t="s">
        <v>54</v>
      </c>
      <c r="E25" s="17" t="s">
        <v>55</v>
      </c>
      <c r="F25" s="19" t="s">
        <v>56</v>
      </c>
      <c r="G25" s="42"/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6" t="s">
        <v>17</v>
      </c>
      <c r="C26" s="26">
        <v>0.26</v>
      </c>
      <c r="D26" s="26">
        <v>0</v>
      </c>
      <c r="E26" s="27">
        <v>0</v>
      </c>
      <c r="F26" s="97">
        <v>2600</v>
      </c>
      <c r="G26" s="42"/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4" t="s">
        <v>57</v>
      </c>
      <c r="C27" s="28">
        <v>0</v>
      </c>
      <c r="D27" s="28">
        <v>0.46</v>
      </c>
      <c r="E27" s="29">
        <v>0</v>
      </c>
      <c r="F27" s="31">
        <v>0</v>
      </c>
      <c r="G27" s="42"/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4" t="s">
        <v>58</v>
      </c>
      <c r="C28" s="28">
        <v>0.23</v>
      </c>
      <c r="D28" s="28">
        <v>0.23</v>
      </c>
      <c r="E28" s="29">
        <v>0</v>
      </c>
      <c r="F28" s="31">
        <v>3200</v>
      </c>
      <c r="G28" s="42"/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4" t="s">
        <v>59</v>
      </c>
      <c r="C29" s="28">
        <v>0</v>
      </c>
      <c r="D29" s="28">
        <v>0</v>
      </c>
      <c r="E29" s="29">
        <v>0.6</v>
      </c>
      <c r="F29" s="31">
        <v>0</v>
      </c>
      <c r="G29" s="42"/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30" t="s">
        <v>60</v>
      </c>
      <c r="C30" s="41">
        <v>0.1</v>
      </c>
      <c r="D30" s="41">
        <v>0.26</v>
      </c>
      <c r="E30" s="41">
        <v>0.1</v>
      </c>
      <c r="F30" s="32">
        <v>3200</v>
      </c>
      <c r="G30" s="42"/>
      <c r="H30" s="42"/>
      <c r="I30" s="42"/>
      <c r="J30" s="42"/>
      <c r="K30" s="42"/>
      <c r="L30" s="168" t="s">
        <v>61</v>
      </c>
      <c r="M30" s="169"/>
      <c r="N30" s="187"/>
      <c r="O30" s="191" t="s">
        <v>62</v>
      </c>
      <c r="P30" s="192"/>
      <c r="Q30" s="192"/>
      <c r="R30" s="192"/>
      <c r="S30" s="170"/>
      <c r="T30" s="168" t="s">
        <v>63</v>
      </c>
      <c r="U30" s="169"/>
      <c r="V30" s="169"/>
      <c r="W30" s="169"/>
      <c r="X30" s="169"/>
      <c r="Y30" s="169"/>
      <c r="Z30" s="169"/>
      <c r="AA30" s="169"/>
      <c r="AB30" s="168" t="s">
        <v>64</v>
      </c>
      <c r="AC30" s="169"/>
      <c r="AD30" s="187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76" t="s">
        <v>26</v>
      </c>
      <c r="M31" s="77" t="s">
        <v>65</v>
      </c>
      <c r="N31" s="49" t="s">
        <v>66</v>
      </c>
      <c r="O31" s="62" t="s">
        <v>67</v>
      </c>
      <c r="P31" s="63" t="s">
        <v>68</v>
      </c>
      <c r="Q31" s="63" t="s">
        <v>69</v>
      </c>
      <c r="R31" s="63" t="s">
        <v>70</v>
      </c>
      <c r="S31" s="63" t="str">
        <f>P13&amp;" kg"</f>
        <v>Mavu kg</v>
      </c>
      <c r="T31" s="62" t="s">
        <v>71</v>
      </c>
      <c r="U31" s="63" t="s">
        <v>72</v>
      </c>
      <c r="V31" s="63" t="s">
        <v>73</v>
      </c>
      <c r="W31" s="63" t="s">
        <v>74</v>
      </c>
      <c r="X31" s="63" t="s">
        <v>75</v>
      </c>
      <c r="Y31" s="63" t="str">
        <f>P13&amp; " kg (N)"</f>
        <v>Mavu kg (N)</v>
      </c>
      <c r="Z31" s="63" t="str">
        <f>P13&amp;" kg (P)"</f>
        <v>Mavu kg (P)</v>
      </c>
      <c r="AA31" s="64" t="str">
        <f>P13&amp;" kg (K)"</f>
        <v>Mavu kg (K)</v>
      </c>
      <c r="AB31" s="60" t="s">
        <v>41</v>
      </c>
      <c r="AC31" s="60" t="s">
        <v>42</v>
      </c>
      <c r="AD31" s="48" t="s">
        <v>43</v>
      </c>
      <c r="AE31" s="60"/>
      <c r="AF31" s="60"/>
      <c r="AG31" s="60"/>
      <c r="AH31" s="60"/>
      <c r="AI31" s="60"/>
      <c r="AJ31" s="42"/>
      <c r="AK31" s="42"/>
    </row>
    <row r="32" spans="1:37" ht="19.5" customHeight="1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76" t="str">
        <f>B16</f>
        <v xml:space="preserve">Maize  </v>
      </c>
      <c r="M32" s="49">
        <f>C16*0.405</f>
        <v>0.81</v>
      </c>
      <c r="N32" s="46">
        <f t="shared" ref="N32:N37" si="9">IF(D16&lt;=0,0,D16)</f>
        <v>25</v>
      </c>
      <c r="O32" s="78">
        <v>0</v>
      </c>
      <c r="P32" s="78">
        <v>0</v>
      </c>
      <c r="Q32" s="78">
        <v>132.23492731118435</v>
      </c>
      <c r="R32" s="78">
        <v>0</v>
      </c>
      <c r="S32" s="78">
        <v>0</v>
      </c>
      <c r="T32" s="79">
        <f>IF(M32&lt;=0,0,O32*$Q$9)</f>
        <v>0</v>
      </c>
      <c r="U32" s="72">
        <f>IF(M32&lt;=0,0,P32*$R$10)</f>
        <v>0</v>
      </c>
      <c r="V32" s="72">
        <f>IF(M32&lt;=0,0,Q32*$Q$11)</f>
        <v>30.414033281572401</v>
      </c>
      <c r="W32" s="72">
        <f>IF(M32&lt;=0,0,Q32*$R$11)</f>
        <v>13.29093254404714</v>
      </c>
      <c r="X32" s="72">
        <f>IF(M32&lt;=0,0,R32*$S$12)</f>
        <v>0</v>
      </c>
      <c r="Y32" s="72">
        <f>IF(OR(M32&lt;=0,$C$30=0,$C$30="%"),0,S32*$Q$13)</f>
        <v>0</v>
      </c>
      <c r="Z32" s="72">
        <f>IF(OR(M32&lt;=0,$D$30=0,$D$30="%"),0,S32*$R$13)</f>
        <v>0</v>
      </c>
      <c r="AA32" s="73">
        <f>IF(OR(M32&lt;=0,$E$30=0,$E$30="%"),0,S32*$S$13)</f>
        <v>0</v>
      </c>
      <c r="AB32" s="67">
        <f>T32+V32+Y32</f>
        <v>30.414033281572401</v>
      </c>
      <c r="AC32" s="67">
        <f t="shared" ref="AB32:AC37" si="10">U32+W32+Z32</f>
        <v>13.29093254404714</v>
      </c>
      <c r="AD32" s="68">
        <f>X32+AA32</f>
        <v>0</v>
      </c>
      <c r="AE32" s="80"/>
      <c r="AF32" s="80"/>
      <c r="AG32" s="80"/>
      <c r="AH32" s="80"/>
      <c r="AI32" s="80"/>
      <c r="AJ32" s="42"/>
      <c r="AK32" s="42"/>
    </row>
    <row r="33" spans="1:37" ht="19.5" customHeight="1" x14ac:dyDescent="0.4">
      <c r="A33" s="42"/>
      <c r="B33" s="164" t="s">
        <v>76</v>
      </c>
      <c r="C33" s="166"/>
      <c r="D33" s="42"/>
      <c r="E33" s="42"/>
      <c r="F33" s="42"/>
      <c r="G33" s="42"/>
      <c r="H33" s="42"/>
      <c r="I33" s="42"/>
      <c r="J33" s="42"/>
      <c r="K33" s="42"/>
      <c r="L33" s="76" t="str">
        <f t="shared" ref="L33:L38" si="11">B17</f>
        <v>Rice, lowland</v>
      </c>
      <c r="M33" s="49">
        <f t="shared" ref="M33:M38" si="12">C17*0.405</f>
        <v>0.40500000000000003</v>
      </c>
      <c r="N33" s="81">
        <f t="shared" si="9"/>
        <v>25</v>
      </c>
      <c r="O33" s="78">
        <v>68.228317346244665</v>
      </c>
      <c r="P33" s="78">
        <v>0</v>
      </c>
      <c r="Q33" s="78">
        <v>66.276490263894644</v>
      </c>
      <c r="R33" s="78">
        <v>0</v>
      </c>
      <c r="S33" s="78">
        <v>55.53794898001911</v>
      </c>
      <c r="T33" s="79">
        <f>IF(M33&lt;=0,0,O33*$Q$9)</f>
        <v>17.739362510023614</v>
      </c>
      <c r="U33" s="72">
        <f t="shared" ref="U33:U37" si="13">IF(M33&lt;=0,0,P33*$R$10)</f>
        <v>0</v>
      </c>
      <c r="V33" s="72">
        <f>IF(M33&lt;=0,0,Q33*$Q$11)</f>
        <v>15.243592760695769</v>
      </c>
      <c r="W33" s="72">
        <f t="shared" ref="W33:W35" si="14">IF(M33&lt;=0,0,Q33*$R$11)</f>
        <v>6.6614500364240508</v>
      </c>
      <c r="X33" s="72">
        <f t="shared" ref="X33:X35" si="15">IF(M33&lt;=0,0,R33*$S$12)</f>
        <v>0</v>
      </c>
      <c r="Y33" s="72">
        <f t="shared" ref="Y33:Y37" si="16">IF(OR(M33&lt;=0,$C$30=0,$C$30="%"),0,S33*$Q$13)</f>
        <v>5.553794898001911</v>
      </c>
      <c r="Z33" s="72">
        <f t="shared" ref="Z33:Z37" si="17">IF(OR(M33&lt;=0,$D$30=0,$D$30="%"),0,S33*$R$13)</f>
        <v>6.3102217631097712</v>
      </c>
      <c r="AA33" s="73">
        <f t="shared" ref="AA33:AA37" si="18">IF(OR(M33&lt;=0,$E$30=0,$E$30="%"),0,S33*$S$13)</f>
        <v>4.6096497653415867</v>
      </c>
      <c r="AB33" s="72">
        <f t="shared" si="10"/>
        <v>38.536750168721298</v>
      </c>
      <c r="AC33" s="72">
        <f t="shared" si="10"/>
        <v>12.971671799533823</v>
      </c>
      <c r="AD33" s="73">
        <f t="shared" ref="AD33:AD35" si="19">X33+AA33</f>
        <v>4.6096497653415867</v>
      </c>
      <c r="AE33" s="80"/>
      <c r="AF33" s="80"/>
      <c r="AG33" s="80"/>
      <c r="AH33" s="80"/>
      <c r="AI33" s="80"/>
      <c r="AJ33" s="42"/>
      <c r="AK33" s="42"/>
    </row>
    <row r="34" spans="1:37" ht="35" x14ac:dyDescent="0.35">
      <c r="A34" s="42"/>
      <c r="B34" s="7" t="s">
        <v>77</v>
      </c>
      <c r="C34" s="98">
        <v>30000</v>
      </c>
      <c r="D34" s="11"/>
      <c r="E34" s="15"/>
      <c r="F34" s="42"/>
      <c r="G34" s="42"/>
      <c r="H34" s="42"/>
      <c r="I34" s="42"/>
      <c r="J34" s="42"/>
      <c r="K34" s="42"/>
      <c r="L34" s="76" t="str">
        <f t="shared" si="11"/>
        <v>Sorghum</v>
      </c>
      <c r="M34" s="49">
        <f t="shared" si="12"/>
        <v>0.40500000000000003</v>
      </c>
      <c r="N34" s="110">
        <f t="shared" si="9"/>
        <v>25</v>
      </c>
      <c r="O34" s="78">
        <v>0</v>
      </c>
      <c r="P34" s="78">
        <v>0</v>
      </c>
      <c r="Q34" s="78">
        <v>76.642142751950104</v>
      </c>
      <c r="R34" s="78">
        <v>0</v>
      </c>
      <c r="S34" s="78">
        <v>0</v>
      </c>
      <c r="T34" s="105">
        <f t="shared" ref="T34" si="20">IF(M34&lt;=0,0,O34*$Q$9)</f>
        <v>0</v>
      </c>
      <c r="U34" s="106">
        <f t="shared" si="13"/>
        <v>0</v>
      </c>
      <c r="V34" s="106">
        <f>IF(M34&lt;=0,0,Q34*$Q$11)</f>
        <v>17.627692832948526</v>
      </c>
      <c r="W34" s="106">
        <f t="shared" si="14"/>
        <v>7.7033017679985054</v>
      </c>
      <c r="X34" s="106">
        <f t="shared" si="15"/>
        <v>0</v>
      </c>
      <c r="Y34" s="106">
        <f t="shared" si="16"/>
        <v>0</v>
      </c>
      <c r="Z34" s="106">
        <f t="shared" si="17"/>
        <v>0</v>
      </c>
      <c r="AA34" s="111">
        <f t="shared" si="18"/>
        <v>0</v>
      </c>
      <c r="AB34" s="106">
        <f t="shared" si="10"/>
        <v>17.627692832948526</v>
      </c>
      <c r="AC34" s="106">
        <f t="shared" si="10"/>
        <v>7.7033017679985054</v>
      </c>
      <c r="AD34" s="111">
        <f t="shared" si="19"/>
        <v>0</v>
      </c>
      <c r="AE34" s="80"/>
      <c r="AF34" s="80"/>
      <c r="AG34" s="80"/>
      <c r="AH34" s="80"/>
      <c r="AI34" s="80"/>
      <c r="AJ34" s="42"/>
      <c r="AK34" s="42"/>
    </row>
    <row r="35" spans="1:37" ht="17.5" x14ac:dyDescent="0.3">
      <c r="A35" s="42"/>
      <c r="B35" s="174"/>
      <c r="C35" s="174"/>
      <c r="D35" s="33"/>
      <c r="E35" s="15"/>
      <c r="F35" s="42"/>
      <c r="G35" s="42"/>
      <c r="H35" s="42"/>
      <c r="I35" s="42"/>
      <c r="J35" s="42"/>
      <c r="K35" s="42"/>
      <c r="L35" s="76" t="str">
        <f t="shared" si="11"/>
        <v>Banana</v>
      </c>
      <c r="M35" s="49">
        <f t="shared" si="12"/>
        <v>0.40500000000000003</v>
      </c>
      <c r="N35" s="81">
        <f t="shared" si="9"/>
        <v>20</v>
      </c>
      <c r="O35" s="78">
        <v>43.296466532164409</v>
      </c>
      <c r="P35" s="78">
        <v>0</v>
      </c>
      <c r="Q35" s="78">
        <v>0</v>
      </c>
      <c r="R35" s="78">
        <v>0</v>
      </c>
      <c r="S35" s="78">
        <v>200</v>
      </c>
      <c r="T35" s="79">
        <f>IF(M35&lt;=0,0,O35*$Q$9)</f>
        <v>11.257081298362747</v>
      </c>
      <c r="U35" s="72">
        <f t="shared" si="13"/>
        <v>0</v>
      </c>
      <c r="V35" s="72">
        <f>IF(M35&lt;=0,0,Q35*$Q$11)</f>
        <v>0</v>
      </c>
      <c r="W35" s="72">
        <f t="shared" si="14"/>
        <v>0</v>
      </c>
      <c r="X35" s="72">
        <f t="shared" si="15"/>
        <v>0</v>
      </c>
      <c r="Y35" s="72">
        <f t="shared" si="16"/>
        <v>20</v>
      </c>
      <c r="Z35" s="72">
        <f t="shared" si="17"/>
        <v>22.724</v>
      </c>
      <c r="AA35" s="73">
        <f t="shared" si="18"/>
        <v>16.600000000000001</v>
      </c>
      <c r="AB35" s="72">
        <f t="shared" si="10"/>
        <v>31.257081298362749</v>
      </c>
      <c r="AC35" s="72">
        <f t="shared" si="10"/>
        <v>22.724</v>
      </c>
      <c r="AD35" s="73">
        <f t="shared" si="19"/>
        <v>16.600000000000001</v>
      </c>
      <c r="AE35" s="80"/>
      <c r="AF35" s="80"/>
      <c r="AG35" s="80"/>
      <c r="AH35" s="80"/>
      <c r="AI35" s="80"/>
      <c r="AJ35" s="42"/>
      <c r="AK35" s="42"/>
    </row>
    <row r="36" spans="1:37" ht="17.5" x14ac:dyDescent="0.35">
      <c r="A36" s="42"/>
      <c r="B36" s="11"/>
      <c r="C36" s="82"/>
      <c r="D36" s="12"/>
      <c r="E36" s="15"/>
      <c r="F36" s="42"/>
      <c r="G36" s="42"/>
      <c r="H36" s="42"/>
      <c r="I36" s="42"/>
      <c r="J36" s="42"/>
      <c r="K36" s="42"/>
      <c r="L36" s="76" t="str">
        <f t="shared" si="11"/>
        <v>Beans</v>
      </c>
      <c r="M36" s="49">
        <f t="shared" si="12"/>
        <v>0.40500000000000003</v>
      </c>
      <c r="N36" s="81">
        <f t="shared" si="9"/>
        <v>60</v>
      </c>
      <c r="O36" s="78">
        <v>16.789508428277301</v>
      </c>
      <c r="P36" s="78">
        <v>0</v>
      </c>
      <c r="Q36" s="78">
        <v>0</v>
      </c>
      <c r="R36" s="78">
        <v>0</v>
      </c>
      <c r="S36" s="78">
        <v>78.104480293526777</v>
      </c>
      <c r="T36" s="79">
        <f>IF(M36&lt;=0,0,O36*$Q$9)</f>
        <v>4.3652721913520987</v>
      </c>
      <c r="U36" s="72">
        <f>IF(M36&lt;=0,0,P36*$R$10)</f>
        <v>0</v>
      </c>
      <c r="V36" s="72">
        <f>IF(M36&lt;=0,0,Q36*$Q$11)</f>
        <v>0</v>
      </c>
      <c r="W36" s="72">
        <f>IF(M36&lt;=0,0,Q36*$R$11)</f>
        <v>0</v>
      </c>
      <c r="X36" s="72">
        <f>IF(M36&lt;=0,0,R36*$S$12)</f>
        <v>0</v>
      </c>
      <c r="Y36" s="72">
        <f t="shared" si="16"/>
        <v>7.8104480293526777</v>
      </c>
      <c r="Z36" s="72">
        <f t="shared" si="17"/>
        <v>8.8742310509505131</v>
      </c>
      <c r="AA36" s="73">
        <f t="shared" si="18"/>
        <v>6.4826718643627226</v>
      </c>
      <c r="AB36" s="72">
        <f t="shared" si="10"/>
        <v>12.175720220704775</v>
      </c>
      <c r="AC36" s="72">
        <f>U36+W36+Z36</f>
        <v>8.8742310509505131</v>
      </c>
      <c r="AD36" s="73">
        <f>X36+AA36</f>
        <v>6.4826718643627226</v>
      </c>
      <c r="AE36" s="80"/>
      <c r="AF36" s="80"/>
      <c r="AG36" s="80"/>
      <c r="AH36" s="80"/>
      <c r="AI36" s="80"/>
      <c r="AJ36" s="42"/>
      <c r="AK36" s="42"/>
    </row>
    <row r="37" spans="1:37" ht="17.5" x14ac:dyDescent="0.35">
      <c r="A37" s="42"/>
      <c r="B37" s="82"/>
      <c r="C37" s="11"/>
      <c r="D37" s="11"/>
      <c r="E37" s="15"/>
      <c r="F37" s="42"/>
      <c r="G37" s="42"/>
      <c r="H37" s="42"/>
      <c r="I37" s="42"/>
      <c r="J37" s="42"/>
      <c r="K37" s="42"/>
      <c r="L37" s="76" t="str">
        <f t="shared" si="11"/>
        <v>Groundnuts, unshelled</v>
      </c>
      <c r="M37" s="49">
        <f t="shared" si="12"/>
        <v>0.40500000000000003</v>
      </c>
      <c r="N37" s="84">
        <f t="shared" si="9"/>
        <v>55</v>
      </c>
      <c r="O37" s="78">
        <v>0</v>
      </c>
      <c r="P37" s="78">
        <v>0</v>
      </c>
      <c r="Q37" s="78">
        <v>0</v>
      </c>
      <c r="R37" s="78">
        <v>0</v>
      </c>
      <c r="S37" s="78">
        <v>36.864328721794337</v>
      </c>
      <c r="T37" s="79">
        <f>IF(M37&lt;=0,0,O37*$Q$9)</f>
        <v>0</v>
      </c>
      <c r="U37" s="72">
        <f t="shared" si="13"/>
        <v>0</v>
      </c>
      <c r="V37" s="72">
        <f t="shared" ref="V37" si="21">IF(M37&lt;=0,0,Q37*$Q$11)</f>
        <v>0</v>
      </c>
      <c r="W37" s="72">
        <f>IF(M37&lt;=0,0,Q37*$R$11)</f>
        <v>0</v>
      </c>
      <c r="X37" s="72">
        <f>IF(M37&lt;=0,0,R37*$S$12)</f>
        <v>0</v>
      </c>
      <c r="Y37" s="72">
        <f t="shared" si="16"/>
        <v>3.6864328721794339</v>
      </c>
      <c r="Z37" s="72">
        <f t="shared" si="17"/>
        <v>4.1885250293702727</v>
      </c>
      <c r="AA37" s="73">
        <f t="shared" si="18"/>
        <v>3.0597392839089301</v>
      </c>
      <c r="AB37" s="74">
        <f t="shared" si="10"/>
        <v>3.6864328721794339</v>
      </c>
      <c r="AC37" s="74">
        <f t="shared" si="10"/>
        <v>4.1885250293702727</v>
      </c>
      <c r="AD37" s="75">
        <f>X37+AA37</f>
        <v>3.0597392839089301</v>
      </c>
      <c r="AE37" s="80"/>
      <c r="AF37" s="80"/>
      <c r="AG37" s="80"/>
      <c r="AH37" s="80"/>
      <c r="AI37" s="80"/>
      <c r="AJ37" s="42"/>
      <c r="AK37" s="42"/>
    </row>
    <row r="38" spans="1:37" ht="17.5" x14ac:dyDescent="0.35">
      <c r="A38" s="42"/>
      <c r="B38" s="11"/>
      <c r="C38" s="11"/>
      <c r="D38" s="82"/>
      <c r="E38" s="15"/>
      <c r="F38" s="42"/>
      <c r="G38" s="42"/>
      <c r="H38" s="42"/>
      <c r="I38" s="42"/>
      <c r="J38" s="42"/>
      <c r="K38" s="42"/>
      <c r="L38" s="76" t="str">
        <f t="shared" si="11"/>
        <v>Maize-bean intercrop</v>
      </c>
      <c r="M38" s="49">
        <f t="shared" si="12"/>
        <v>0.81</v>
      </c>
      <c r="N38" s="77">
        <f>N32</f>
        <v>25</v>
      </c>
      <c r="O38" s="123">
        <v>0</v>
      </c>
      <c r="P38" s="123">
        <v>0</v>
      </c>
      <c r="Q38" s="123">
        <v>137.62839964520614</v>
      </c>
      <c r="R38" s="123">
        <v>0</v>
      </c>
      <c r="S38" s="123">
        <v>0</v>
      </c>
      <c r="T38" s="123">
        <f>IF(M38&lt;=0,0,O38*$Q$9)</f>
        <v>0</v>
      </c>
      <c r="U38" s="123">
        <f>IF(M38&lt;=0,0,P38*$R$10)</f>
        <v>0</v>
      </c>
      <c r="V38" s="123">
        <f>IF(M38&lt;=0,0,Q38*$Q$11)</f>
        <v>31.654531918397414</v>
      </c>
      <c r="W38" s="123">
        <f>IF(M38&lt;=0,0,Q38*$R$11)</f>
        <v>13.83303044833967</v>
      </c>
      <c r="X38" s="123">
        <f>IF(M38&lt;=0,0,R38*$S$12)</f>
        <v>0</v>
      </c>
      <c r="Y38" s="123">
        <f>IF(OR(M38&lt;=0,$C$30=0,$C$30="%"),0,S38*$Q$13)</f>
        <v>0</v>
      </c>
      <c r="Z38" s="123">
        <f>IF(OR(M38&lt;=0,$D$30=0,$D$30="%"),0,S38*$R$13)</f>
        <v>0</v>
      </c>
      <c r="AA38" s="123">
        <f t="shared" ref="AA38" si="22">IF(OR(M38&lt;=0,$E$30=0,$E$30="%"),0,S38*$S$13)</f>
        <v>0</v>
      </c>
      <c r="AB38" s="74">
        <f>T38+V38+Y38</f>
        <v>31.654531918397414</v>
      </c>
      <c r="AC38" s="74">
        <f>U38+W38+Z38</f>
        <v>13.83303044833967</v>
      </c>
      <c r="AD38" s="75">
        <f>X38+AA38</f>
        <v>0</v>
      </c>
      <c r="AE38" s="70"/>
      <c r="AF38" s="70"/>
      <c r="AG38" s="70"/>
      <c r="AH38" s="70"/>
      <c r="AI38" s="70"/>
      <c r="AJ38" s="42"/>
      <c r="AK38" s="42"/>
    </row>
    <row r="39" spans="1:37" ht="17.5" x14ac:dyDescent="0.35">
      <c r="A39" s="42"/>
      <c r="B39" s="11"/>
      <c r="C39" s="11"/>
      <c r="D39" s="11"/>
      <c r="E39" s="15"/>
      <c r="F39" s="42"/>
      <c r="G39" s="42"/>
      <c r="H39" s="42"/>
      <c r="I39" s="42"/>
      <c r="J39" s="42"/>
      <c r="K39" s="42"/>
      <c r="L39" s="76" t="s">
        <v>78</v>
      </c>
      <c r="M39" s="76">
        <f>SUM(M32:M38)</f>
        <v>3.6450000000000009</v>
      </c>
      <c r="N39" s="77"/>
      <c r="O39" s="123"/>
      <c r="P39" s="123"/>
      <c r="Q39" s="123"/>
      <c r="R39" s="123"/>
      <c r="S39" s="123"/>
      <c r="T39" s="124"/>
      <c r="U39" s="124"/>
      <c r="V39" s="124"/>
      <c r="W39" s="124"/>
      <c r="X39" s="124"/>
      <c r="Y39" s="124"/>
      <c r="Z39" s="124"/>
      <c r="AA39" s="124"/>
      <c r="AB39" s="128"/>
      <c r="AC39" s="128"/>
      <c r="AD39" s="128"/>
      <c r="AJ39" s="42"/>
      <c r="AK39" s="42"/>
    </row>
    <row r="40" spans="1:37" ht="17.5" x14ac:dyDescent="0.35">
      <c r="A40" s="42"/>
      <c r="B40" s="11"/>
      <c r="C40" s="11"/>
      <c r="D40" s="11"/>
      <c r="E40" s="15"/>
      <c r="F40" s="42"/>
      <c r="G40" s="42"/>
      <c r="H40" s="42"/>
      <c r="I40" s="42"/>
      <c r="J40" s="42"/>
      <c r="K40" s="42"/>
      <c r="L40" s="76"/>
      <c r="M40" s="76"/>
      <c r="N40" s="76" t="s">
        <v>79</v>
      </c>
      <c r="O40" s="123">
        <f>$M$32*O32+$M$33*O33+$M$34*O34+$M$35*O35+$M$36*O36+$M$37*O37+O38*$M$38</f>
        <v>51.967288384207983</v>
      </c>
      <c r="P40" s="123">
        <f t="shared" ref="P40:S40" si="23">$M$32*P32+$M$33*P33+$M$34*P34+$M$35*P35+$M$36*P36+$M$37*P37+P38*$M$38</f>
        <v>0</v>
      </c>
      <c r="Q40" s="123">
        <f>$M$32*Q32+$M$33*Q33+$M$34*Q34+$M$35*Q35+$M$36*Q36+$M$37*Q37+Q38*$M$38</f>
        <v>276.47134120609343</v>
      </c>
      <c r="R40" s="123">
        <f t="shared" si="23"/>
        <v>0</v>
      </c>
      <c r="S40" s="123">
        <f t="shared" si="23"/>
        <v>150.0552369881128</v>
      </c>
      <c r="AJ40" s="42"/>
      <c r="AK40" s="42"/>
    </row>
    <row r="41" spans="1:37" ht="18" x14ac:dyDescent="0.4">
      <c r="A41" s="42"/>
      <c r="B41" s="175" t="s">
        <v>80</v>
      </c>
      <c r="C41" s="176"/>
      <c r="D41" s="176"/>
      <c r="E41" s="176"/>
      <c r="F41" s="176"/>
      <c r="G41" s="177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3"/>
      <c r="C42" s="183" t="s">
        <v>81</v>
      </c>
      <c r="D42" s="184"/>
      <c r="E42" s="184"/>
      <c r="F42" s="184"/>
      <c r="G42" s="185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6" t="s">
        <v>26</v>
      </c>
      <c r="C43" s="35" t="s">
        <v>17</v>
      </c>
      <c r="D43" s="35" t="s">
        <v>20</v>
      </c>
      <c r="E43" s="35" t="s">
        <v>22</v>
      </c>
      <c r="F43" s="35" t="s">
        <v>82</v>
      </c>
      <c r="G43" s="35" t="str">
        <f>LEFT(B30,4)</f>
        <v>Mavu</v>
      </c>
      <c r="H43" s="42"/>
      <c r="I43" s="42"/>
      <c r="J43" s="42"/>
      <c r="K43" s="42"/>
      <c r="AJ43" s="42"/>
      <c r="AK43" s="42"/>
    </row>
    <row r="44" spans="1:37" ht="17.5" x14ac:dyDescent="0.35">
      <c r="A44" s="42"/>
      <c r="B44" s="156" t="str">
        <f>B16</f>
        <v xml:space="preserve">Maize  </v>
      </c>
      <c r="C44" s="5">
        <f>O32*0.405</f>
        <v>0</v>
      </c>
      <c r="D44" s="5">
        <f t="shared" ref="D44:G50" si="24">P32*0.405</f>
        <v>0</v>
      </c>
      <c r="E44" s="5">
        <f t="shared" si="24"/>
        <v>53.555145561029668</v>
      </c>
      <c r="F44" s="5">
        <f t="shared" si="24"/>
        <v>0</v>
      </c>
      <c r="G44" s="5">
        <f t="shared" si="24"/>
        <v>0</v>
      </c>
      <c r="H44" s="42"/>
      <c r="I44" s="42"/>
      <c r="J44" s="42"/>
      <c r="K44" s="42"/>
      <c r="N44" s="168" t="s">
        <v>83</v>
      </c>
      <c r="O44" s="169"/>
      <c r="P44" s="169"/>
      <c r="Q44" s="169"/>
      <c r="R44" s="169"/>
      <c r="S44" s="169"/>
      <c r="T44" s="169"/>
      <c r="U44" s="170"/>
      <c r="Y44" s="60"/>
      <c r="AJ44" s="42"/>
      <c r="AK44" s="42"/>
    </row>
    <row r="45" spans="1:37" ht="17.5" x14ac:dyDescent="0.35">
      <c r="A45" s="42"/>
      <c r="B45" s="156" t="str">
        <f t="shared" ref="B45:B50" si="25">B17</f>
        <v>Rice, lowland</v>
      </c>
      <c r="C45" s="5">
        <f t="shared" ref="C45:C50" si="26">O33*0.405</f>
        <v>27.63246852522909</v>
      </c>
      <c r="D45" s="5">
        <f t="shared" si="24"/>
        <v>0</v>
      </c>
      <c r="E45" s="5">
        <f t="shared" si="24"/>
        <v>26.841978556877333</v>
      </c>
      <c r="F45" s="5">
        <f t="shared" si="24"/>
        <v>0</v>
      </c>
      <c r="G45" s="5">
        <f t="shared" si="24"/>
        <v>22.492869336907741</v>
      </c>
      <c r="H45" s="42"/>
      <c r="I45" s="42"/>
      <c r="J45" s="42"/>
      <c r="K45" s="42"/>
      <c r="N45" s="83" t="s">
        <v>26</v>
      </c>
      <c r="O45" s="52" t="s">
        <v>17</v>
      </c>
      <c r="P45" s="60" t="s">
        <v>84</v>
      </c>
      <c r="Q45" s="60" t="s">
        <v>22</v>
      </c>
      <c r="R45" s="60" t="s">
        <v>85</v>
      </c>
      <c r="S45" s="85" t="str">
        <f>P13</f>
        <v>Mavu</v>
      </c>
      <c r="T45" s="52" t="s">
        <v>86</v>
      </c>
      <c r="U45" s="77" t="s">
        <v>76</v>
      </c>
      <c r="Y45" s="60"/>
      <c r="AJ45" s="42"/>
      <c r="AK45" s="42"/>
    </row>
    <row r="46" spans="1:37" ht="17.5" x14ac:dyDescent="0.35">
      <c r="A46" s="42"/>
      <c r="B46" s="156" t="str">
        <f t="shared" si="25"/>
        <v>Sorghum</v>
      </c>
      <c r="C46" s="5">
        <f t="shared" si="26"/>
        <v>0</v>
      </c>
      <c r="D46" s="5">
        <f t="shared" si="24"/>
        <v>0</v>
      </c>
      <c r="E46" s="5">
        <f t="shared" si="24"/>
        <v>31.040067814539793</v>
      </c>
      <c r="F46" s="5">
        <f t="shared" si="24"/>
        <v>0</v>
      </c>
      <c r="G46" s="5">
        <f t="shared" si="24"/>
        <v>0</v>
      </c>
      <c r="H46" s="42"/>
      <c r="I46" s="42"/>
      <c r="J46" s="42"/>
      <c r="K46" s="42"/>
      <c r="L46" s="60"/>
      <c r="N46" s="76" t="str">
        <f>B16</f>
        <v xml:space="preserve">Maize  </v>
      </c>
      <c r="O46" s="65">
        <f>O32*$T$9</f>
        <v>0</v>
      </c>
      <c r="P46" s="66">
        <f t="shared" ref="P46:P52" si="27">P32*$T$10</f>
        <v>0</v>
      </c>
      <c r="Q46" s="66">
        <f>Q32*$T$11</f>
        <v>8463.0353479157984</v>
      </c>
      <c r="R46" s="66">
        <f t="shared" ref="R46:R52" si="28">R32*$T$12</f>
        <v>0</v>
      </c>
      <c r="S46" s="66">
        <f t="shared" ref="S46:S52" si="29">S32*$T$13</f>
        <v>0</v>
      </c>
      <c r="T46" s="107">
        <f>SUM(O46:S46)*M32</f>
        <v>6855.0586318117976</v>
      </c>
      <c r="U46" s="178"/>
      <c r="Y46" s="60"/>
      <c r="AJ46" s="42"/>
      <c r="AK46" s="42"/>
    </row>
    <row r="47" spans="1:37" ht="15.75" customHeight="1" x14ac:dyDescent="0.35">
      <c r="A47" s="42"/>
      <c r="B47" s="156" t="str">
        <f t="shared" si="25"/>
        <v>Banana</v>
      </c>
      <c r="C47" s="5">
        <f t="shared" si="26"/>
        <v>17.535068945526586</v>
      </c>
      <c r="D47" s="5">
        <f t="shared" si="24"/>
        <v>0</v>
      </c>
      <c r="E47" s="5">
        <f t="shared" si="24"/>
        <v>0</v>
      </c>
      <c r="F47" s="5">
        <f t="shared" si="24"/>
        <v>0</v>
      </c>
      <c r="G47" s="5">
        <f t="shared" si="24"/>
        <v>81</v>
      </c>
      <c r="H47" s="42"/>
      <c r="I47" s="42"/>
      <c r="J47" s="42"/>
      <c r="K47" s="42"/>
      <c r="N47" s="76" t="str">
        <f t="shared" ref="N47:N52" si="30">B17</f>
        <v>Rice, lowland</v>
      </c>
      <c r="O47" s="69">
        <f t="shared" ref="O47:O51" si="31">O33*$T$9</f>
        <v>3547.8725020047227</v>
      </c>
      <c r="P47" s="70">
        <f t="shared" si="27"/>
        <v>0</v>
      </c>
      <c r="Q47" s="70">
        <f t="shared" ref="Q47:Q52" si="32">Q33*$T$11</f>
        <v>4241.6953768892572</v>
      </c>
      <c r="R47" s="70">
        <f>R33*$T$12</f>
        <v>0</v>
      </c>
      <c r="S47" s="70">
        <f t="shared" si="29"/>
        <v>3554.428734721223</v>
      </c>
      <c r="T47" s="108">
        <f t="shared" ref="T47:T50" si="33">SUM(O47:S47)*M33</f>
        <v>4594.3186285141574</v>
      </c>
      <c r="U47" s="179"/>
      <c r="AJ47" s="42"/>
      <c r="AK47" s="42"/>
    </row>
    <row r="48" spans="1:37" ht="17.5" x14ac:dyDescent="0.35">
      <c r="A48" s="42"/>
      <c r="B48" s="156" t="str">
        <f t="shared" si="25"/>
        <v>Beans</v>
      </c>
      <c r="C48" s="5">
        <f t="shared" si="26"/>
        <v>6.7997509134523071</v>
      </c>
      <c r="D48" s="5">
        <f t="shared" si="24"/>
        <v>0</v>
      </c>
      <c r="E48" s="5">
        <f t="shared" si="24"/>
        <v>0</v>
      </c>
      <c r="F48" s="5">
        <f t="shared" si="24"/>
        <v>0</v>
      </c>
      <c r="G48" s="5">
        <f t="shared" si="24"/>
        <v>31.632314518878346</v>
      </c>
      <c r="H48" s="42"/>
      <c r="I48" s="42"/>
      <c r="J48" s="42"/>
      <c r="K48" s="42"/>
      <c r="N48" s="76" t="str">
        <f t="shared" si="30"/>
        <v>Sorghum</v>
      </c>
      <c r="O48" s="69">
        <f t="shared" si="31"/>
        <v>0</v>
      </c>
      <c r="P48" s="70">
        <f t="shared" si="27"/>
        <v>0</v>
      </c>
      <c r="Q48" s="70">
        <f t="shared" si="32"/>
        <v>4905.0971361248066</v>
      </c>
      <c r="R48" s="70">
        <f t="shared" si="28"/>
        <v>0</v>
      </c>
      <c r="S48" s="70">
        <f t="shared" si="29"/>
        <v>0</v>
      </c>
      <c r="T48" s="108">
        <f t="shared" si="33"/>
        <v>1986.5643401305467</v>
      </c>
      <c r="U48" s="179"/>
      <c r="AJ48" s="42"/>
      <c r="AK48" s="42"/>
    </row>
    <row r="49" spans="1:37" ht="17.5" x14ac:dyDescent="0.35">
      <c r="A49" s="42"/>
      <c r="B49" s="156" t="str">
        <f t="shared" si="25"/>
        <v>Groundnuts, unshelled</v>
      </c>
      <c r="C49" s="5">
        <f t="shared" si="26"/>
        <v>0</v>
      </c>
      <c r="D49" s="5">
        <f t="shared" si="24"/>
        <v>0</v>
      </c>
      <c r="E49" s="5">
        <f t="shared" si="24"/>
        <v>0</v>
      </c>
      <c r="F49" s="5">
        <f t="shared" si="24"/>
        <v>0</v>
      </c>
      <c r="G49" s="5">
        <f t="shared" si="24"/>
        <v>14.930053132326707</v>
      </c>
      <c r="H49" s="42"/>
      <c r="I49" s="42"/>
      <c r="J49" s="42"/>
      <c r="K49" s="42"/>
      <c r="N49" s="76" t="str">
        <f t="shared" si="30"/>
        <v>Banana</v>
      </c>
      <c r="O49" s="69">
        <f t="shared" si="31"/>
        <v>2251.4162596725491</v>
      </c>
      <c r="P49" s="70">
        <f t="shared" si="27"/>
        <v>0</v>
      </c>
      <c r="Q49" s="70">
        <f t="shared" si="32"/>
        <v>0</v>
      </c>
      <c r="R49" s="70">
        <f t="shared" si="28"/>
        <v>0</v>
      </c>
      <c r="S49" s="70">
        <f t="shared" si="29"/>
        <v>12800</v>
      </c>
      <c r="T49" s="108">
        <f t="shared" si="33"/>
        <v>6095.8235851673826</v>
      </c>
      <c r="U49" s="179"/>
      <c r="AJ49" s="42"/>
      <c r="AK49" s="42"/>
    </row>
    <row r="50" spans="1:37" ht="17.5" x14ac:dyDescent="0.35">
      <c r="A50" s="42"/>
      <c r="B50" s="156" t="str">
        <f t="shared" si="25"/>
        <v>Maize-bean intercrop</v>
      </c>
      <c r="C50" s="5">
        <f t="shared" si="26"/>
        <v>0</v>
      </c>
      <c r="D50" s="5">
        <f t="shared" si="24"/>
        <v>0</v>
      </c>
      <c r="E50" s="5">
        <f t="shared" si="24"/>
        <v>55.739501856308493</v>
      </c>
      <c r="F50" s="5">
        <f t="shared" si="24"/>
        <v>0</v>
      </c>
      <c r="G50" s="5">
        <f t="shared" si="24"/>
        <v>0</v>
      </c>
      <c r="H50" s="42"/>
      <c r="I50" s="42"/>
      <c r="J50" s="42"/>
      <c r="K50" s="42"/>
      <c r="N50" s="76" t="str">
        <f t="shared" si="30"/>
        <v>Beans</v>
      </c>
      <c r="O50" s="69">
        <f t="shared" si="31"/>
        <v>873.05443827041972</v>
      </c>
      <c r="P50" s="70">
        <f>P36*$T$10</f>
        <v>0</v>
      </c>
      <c r="Q50" s="70">
        <f t="shared" si="32"/>
        <v>0</v>
      </c>
      <c r="R50" s="70">
        <f t="shared" si="28"/>
        <v>0</v>
      </c>
      <c r="S50" s="70">
        <f t="shared" si="29"/>
        <v>4998.6867387857137</v>
      </c>
      <c r="T50" s="108">
        <f t="shared" si="33"/>
        <v>2378.0551767077345</v>
      </c>
      <c r="U50" s="179"/>
      <c r="W50" s="167"/>
      <c r="X50" s="167"/>
      <c r="AJ50" s="42"/>
      <c r="AK50" s="42"/>
    </row>
    <row r="51" spans="1:37" ht="18" x14ac:dyDescent="0.4">
      <c r="A51" s="42"/>
      <c r="B51" s="34" t="s">
        <v>87</v>
      </c>
      <c r="C51" s="143">
        <f>O40</f>
        <v>51.967288384207983</v>
      </c>
      <c r="D51" s="143">
        <f t="shared" ref="D51:G51" si="34">P40</f>
        <v>0</v>
      </c>
      <c r="E51" s="143">
        <f t="shared" si="34"/>
        <v>276.47134120609343</v>
      </c>
      <c r="F51" s="143">
        <f t="shared" si="34"/>
        <v>0</v>
      </c>
      <c r="G51" s="143">
        <f t="shared" si="34"/>
        <v>150.0552369881128</v>
      </c>
      <c r="H51" s="13"/>
      <c r="I51" s="42"/>
      <c r="J51" s="42"/>
      <c r="K51" s="42"/>
      <c r="N51" s="76" t="str">
        <f t="shared" si="30"/>
        <v>Groundnuts, unshelled</v>
      </c>
      <c r="O51" s="69">
        <f t="shared" si="31"/>
        <v>0</v>
      </c>
      <c r="P51" s="70">
        <f t="shared" si="27"/>
        <v>0</v>
      </c>
      <c r="Q51" s="70">
        <f t="shared" si="32"/>
        <v>0</v>
      </c>
      <c r="R51" s="70">
        <f t="shared" si="28"/>
        <v>0</v>
      </c>
      <c r="S51" s="70">
        <f t="shared" si="29"/>
        <v>2359.3170381948376</v>
      </c>
      <c r="T51" s="109">
        <f>SUM(O51:S51)*M37</f>
        <v>955.52340046890924</v>
      </c>
      <c r="U51" s="179"/>
      <c r="W51" s="60"/>
      <c r="X51" s="60"/>
      <c r="AJ51" s="42"/>
      <c r="AK51" s="42"/>
    </row>
    <row r="52" spans="1:37" ht="18" x14ac:dyDescent="0.4">
      <c r="A52" s="42"/>
      <c r="B52" s="175" t="s">
        <v>88</v>
      </c>
      <c r="C52" s="181"/>
      <c r="D52" s="182"/>
      <c r="E52" s="42"/>
      <c r="F52" s="42"/>
      <c r="G52" s="13"/>
      <c r="H52" s="13"/>
      <c r="I52" s="42"/>
      <c r="J52" s="42"/>
      <c r="K52" s="42"/>
      <c r="N52" s="76" t="str">
        <f t="shared" si="30"/>
        <v>Maize-bean intercrop</v>
      </c>
      <c r="O52" s="69">
        <f>O38*$T$9</f>
        <v>0</v>
      </c>
      <c r="P52" s="70">
        <f t="shared" si="27"/>
        <v>0</v>
      </c>
      <c r="Q52" s="70">
        <f t="shared" si="32"/>
        <v>8808.2175772931932</v>
      </c>
      <c r="R52" s="70">
        <f t="shared" si="28"/>
        <v>0</v>
      </c>
      <c r="S52" s="70">
        <f t="shared" si="29"/>
        <v>0</v>
      </c>
      <c r="T52" s="109">
        <f>SUM(O52:S52)*M38</f>
        <v>7134.6562376074871</v>
      </c>
      <c r="U52" s="180"/>
      <c r="W52" s="60"/>
      <c r="X52" s="60"/>
      <c r="Z52" s="60"/>
      <c r="AA52" s="60"/>
      <c r="AJ52" s="42"/>
      <c r="AK52" s="42"/>
    </row>
    <row r="53" spans="1:37" ht="36" customHeight="1" x14ac:dyDescent="0.3">
      <c r="A53" s="42"/>
      <c r="B53" s="36" t="s">
        <v>26</v>
      </c>
      <c r="C53" s="39" t="s">
        <v>89</v>
      </c>
      <c r="D53" s="40" t="s">
        <v>90</v>
      </c>
      <c r="E53" s="42"/>
      <c r="F53" s="42"/>
      <c r="G53" s="14"/>
      <c r="H53" s="14"/>
      <c r="I53" s="42"/>
      <c r="J53" s="42"/>
      <c r="K53" s="42"/>
      <c r="L53" s="119"/>
      <c r="M53" s="119"/>
      <c r="N53" s="129" t="s">
        <v>50</v>
      </c>
      <c r="O53" s="124">
        <f>SUM(O46:O52)</f>
        <v>6672.3431999476907</v>
      </c>
      <c r="P53" s="124">
        <f t="shared" ref="P53:S53" si="35">SUM(P46:P52)</f>
        <v>0</v>
      </c>
      <c r="Q53" s="124">
        <f t="shared" si="35"/>
        <v>26418.04543822306</v>
      </c>
      <c r="R53" s="124">
        <f t="shared" si="35"/>
        <v>0</v>
      </c>
      <c r="S53" s="124">
        <f t="shared" si="35"/>
        <v>23712.432511701772</v>
      </c>
      <c r="T53" s="130">
        <f>T52+T51+T50+T49+T48+T47+T46</f>
        <v>30000.000000408014</v>
      </c>
      <c r="U53" s="76">
        <f>C34</f>
        <v>30000</v>
      </c>
      <c r="Y53" s="60"/>
      <c r="AJ53" s="42"/>
      <c r="AK53" s="42"/>
    </row>
    <row r="54" spans="1:37" ht="17.5" x14ac:dyDescent="0.35">
      <c r="A54" s="42"/>
      <c r="B54" s="157" t="str">
        <f>B16</f>
        <v xml:space="preserve">Maize  </v>
      </c>
      <c r="C54" s="6">
        <f>W60*0.405</f>
        <v>705.07953752513754</v>
      </c>
      <c r="D54" s="6">
        <f>X60*0.405</f>
        <v>14199.459122222543</v>
      </c>
      <c r="E54" s="42"/>
      <c r="F54" s="42"/>
      <c r="G54" s="89"/>
      <c r="H54" s="89"/>
      <c r="I54" s="42"/>
      <c r="J54" s="42"/>
      <c r="K54" s="42"/>
      <c r="L54" s="119"/>
      <c r="M54" s="119"/>
      <c r="N54" s="119"/>
      <c r="Y54" s="90"/>
      <c r="AJ54" s="42"/>
      <c r="AK54" s="42"/>
    </row>
    <row r="55" spans="1:37" ht="17.5" x14ac:dyDescent="0.35">
      <c r="A55" s="42"/>
      <c r="B55" s="157" t="str">
        <f t="shared" ref="B55:B60" si="36">B17</f>
        <v>Rice, lowland</v>
      </c>
      <c r="C55" s="6">
        <f>W63*0.405</f>
        <v>1016.2751224404542</v>
      </c>
      <c r="D55" s="6">
        <f>X63*0.405</f>
        <v>20812.559432497197</v>
      </c>
      <c r="E55" s="42"/>
      <c r="F55" s="42"/>
      <c r="G55" s="89"/>
      <c r="H55" s="89"/>
      <c r="I55" s="42"/>
      <c r="J55" s="42"/>
      <c r="K55" s="42"/>
      <c r="L55" s="119"/>
      <c r="M55" s="119"/>
      <c r="N55" s="119"/>
      <c r="Y55" s="90"/>
      <c r="AJ55" s="42"/>
      <c r="AK55" s="42"/>
    </row>
    <row r="56" spans="1:37" ht="17.5" x14ac:dyDescent="0.35">
      <c r="A56" s="42"/>
      <c r="B56" s="157" t="str">
        <f t="shared" si="36"/>
        <v>Sorghum</v>
      </c>
      <c r="C56" s="6">
        <f>W66*0.405</f>
        <v>860.88715430241427</v>
      </c>
      <c r="D56" s="6">
        <f>X66*0.405</f>
        <v>19535.614517429811</v>
      </c>
      <c r="E56" s="42"/>
      <c r="F56" s="42"/>
      <c r="G56" s="89"/>
      <c r="H56" s="89"/>
      <c r="I56" s="42"/>
      <c r="J56" s="42"/>
      <c r="K56" s="42"/>
      <c r="L56" s="119"/>
      <c r="M56" s="119"/>
      <c r="Y56" s="90"/>
      <c r="AJ56" s="42"/>
      <c r="AK56" s="42"/>
    </row>
    <row r="57" spans="1:37" ht="17.5" x14ac:dyDescent="0.35">
      <c r="A57" s="42"/>
      <c r="B57" s="157" t="str">
        <f t="shared" si="36"/>
        <v>Banana</v>
      </c>
      <c r="C57" s="6">
        <f>W69*0.405</f>
        <v>4777.5383763922046</v>
      </c>
      <c r="D57" s="6">
        <f>X69*0.405</f>
        <v>89454.943942676706</v>
      </c>
      <c r="E57" s="42"/>
      <c r="F57" s="42"/>
      <c r="G57" s="89"/>
      <c r="H57" s="89"/>
      <c r="I57" s="42"/>
      <c r="J57" s="42"/>
      <c r="K57" s="42"/>
      <c r="Y57" s="90"/>
      <c r="AJ57" s="42"/>
      <c r="AK57" s="42"/>
    </row>
    <row r="58" spans="1:37" ht="17.5" x14ac:dyDescent="0.35">
      <c r="A58" s="42"/>
      <c r="B58" s="157" t="str">
        <f t="shared" si="36"/>
        <v>Beans</v>
      </c>
      <c r="C58" s="6">
        <f>W72*0.405</f>
        <v>218.31281544428049</v>
      </c>
      <c r="D58" s="6">
        <f>X72*0.405</f>
        <v>10720.713749949095</v>
      </c>
      <c r="E58" s="42"/>
      <c r="F58" s="42"/>
      <c r="G58" s="89"/>
      <c r="H58" s="89"/>
      <c r="I58" s="42"/>
      <c r="J58" s="42"/>
      <c r="K58" s="42"/>
      <c r="L58" s="168" t="s">
        <v>91</v>
      </c>
      <c r="M58" s="169"/>
      <c r="N58" s="169"/>
      <c r="O58" s="169"/>
      <c r="P58" s="169"/>
      <c r="Q58" s="169"/>
      <c r="R58" s="187"/>
      <c r="S58" s="168" t="s">
        <v>92</v>
      </c>
      <c r="T58" s="169"/>
      <c r="U58" s="169"/>
      <c r="V58" s="169"/>
      <c r="W58" s="168" t="s">
        <v>93</v>
      </c>
      <c r="X58" s="187"/>
      <c r="AJ58" s="42"/>
      <c r="AK58" s="42"/>
    </row>
    <row r="59" spans="1:37" ht="17.5" x14ac:dyDescent="0.35">
      <c r="A59" s="42"/>
      <c r="B59" s="157" t="str">
        <f t="shared" si="36"/>
        <v>Groundnuts, unshelled</v>
      </c>
      <c r="C59" s="6">
        <f>W75*0.405</f>
        <v>58.504809956575876</v>
      </c>
      <c r="D59" s="6">
        <f>X75*0.405</f>
        <v>2262.2411471427636</v>
      </c>
      <c r="E59" s="42"/>
      <c r="F59" s="42"/>
      <c r="G59" s="89"/>
      <c r="H59" s="89"/>
      <c r="I59" s="42"/>
      <c r="J59" s="42"/>
      <c r="K59" s="42"/>
      <c r="L59" s="76" t="s">
        <v>94</v>
      </c>
      <c r="M59" s="77" t="s">
        <v>95</v>
      </c>
      <c r="N59" s="77" t="s">
        <v>96</v>
      </c>
      <c r="O59" s="77" t="s">
        <v>97</v>
      </c>
      <c r="P59" s="76" t="s">
        <v>98</v>
      </c>
      <c r="Q59" s="77" t="s">
        <v>99</v>
      </c>
      <c r="R59" s="77" t="s">
        <v>100</v>
      </c>
      <c r="S59" s="77" t="s">
        <v>101</v>
      </c>
      <c r="T59" s="77" t="s">
        <v>102</v>
      </c>
      <c r="U59" s="77" t="s">
        <v>103</v>
      </c>
      <c r="V59" s="77" t="s">
        <v>104</v>
      </c>
      <c r="W59" s="77" t="s">
        <v>89</v>
      </c>
      <c r="X59" s="77" t="s">
        <v>90</v>
      </c>
      <c r="AJ59" s="42"/>
      <c r="AK59" s="42"/>
    </row>
    <row r="60" spans="1:37" ht="17.5" x14ac:dyDescent="0.35">
      <c r="A60" s="42"/>
      <c r="B60" s="157" t="str">
        <f t="shared" si="36"/>
        <v>Maize-bean intercrop</v>
      </c>
      <c r="C60" s="6">
        <f>W78*0.405</f>
        <v>980.70077393757276</v>
      </c>
      <c r="D60" s="6">
        <f>X78*0.405</f>
        <v>20950.191229635577</v>
      </c>
      <c r="E60" s="42"/>
      <c r="F60" s="42"/>
      <c r="G60" s="42"/>
      <c r="H60" s="42"/>
      <c r="I60" s="42"/>
      <c r="J60" s="42"/>
      <c r="K60" s="42"/>
      <c r="L60" s="76" t="s">
        <v>105</v>
      </c>
      <c r="M60">
        <v>3.2909852377554039</v>
      </c>
      <c r="N60">
        <v>1.4294852377554035</v>
      </c>
      <c r="O60">
        <v>0.95499999999999996</v>
      </c>
      <c r="P60" s="77">
        <f>M60-N60</f>
        <v>1.8615000000000004</v>
      </c>
      <c r="Q60" s="123">
        <f>IFERROR((M60-N60*POWER(O60,AB32)-(P60)),0)</f>
        <v>1.0771131069855091</v>
      </c>
      <c r="R60" s="123">
        <f>Q60*1000</f>
        <v>1077.1131069855091</v>
      </c>
      <c r="S60" s="132">
        <f>R60*N32*M32</f>
        <v>21811.540416456563</v>
      </c>
      <c r="T60" s="133">
        <f>S60+S61+S62</f>
        <v>35253.976876256878</v>
      </c>
      <c r="U60" s="133">
        <f>T46</f>
        <v>6855.0586318117976</v>
      </c>
      <c r="V60" s="133">
        <f>T60-U60</f>
        <v>28398.918244445082</v>
      </c>
      <c r="W60" s="130">
        <f>R60+R61+R62</f>
        <v>1740.9371296916975</v>
      </c>
      <c r="X60" s="134">
        <f>IF(OR(M32=0,M32=1),$V$60,IF(M32&lt;1,$V$60/M32,IF(M32&gt;1,$V$60/M32,0)))</f>
        <v>35060.392894376644</v>
      </c>
      <c r="AJ60" s="42"/>
      <c r="AK60" s="42"/>
    </row>
    <row r="61" spans="1:37" ht="18" x14ac:dyDescent="0.4">
      <c r="A61" s="42"/>
      <c r="B61" s="175" t="s">
        <v>106</v>
      </c>
      <c r="C61" s="176"/>
      <c r="D61" s="177"/>
      <c r="E61" s="42"/>
      <c r="F61" s="42"/>
      <c r="G61" s="42"/>
      <c r="H61" s="42"/>
      <c r="I61" s="42"/>
      <c r="J61" s="42"/>
      <c r="K61" s="42"/>
      <c r="L61" s="76" t="s">
        <v>107</v>
      </c>
      <c r="M61">
        <v>3.7907028723984642</v>
      </c>
      <c r="N61">
        <v>1.1712028723984642</v>
      </c>
      <c r="O61">
        <v>0.93899999999999995</v>
      </c>
      <c r="P61" s="77">
        <f t="shared" ref="P61" si="37">M61-N61</f>
        <v>2.6194999999999999</v>
      </c>
      <c r="Q61" s="123">
        <f>IFERROR(((M61-N61*POWER(O61,AC32)-(P61))),0)</f>
        <v>0.66382402270618845</v>
      </c>
      <c r="R61" s="123">
        <f t="shared" ref="R61" si="38">Q61*1000</f>
        <v>663.82402270618843</v>
      </c>
      <c r="S61" s="132">
        <f>R61*N32*M32</f>
        <v>13442.436459800316</v>
      </c>
      <c r="T61" s="133"/>
      <c r="U61" s="133"/>
      <c r="V61" s="133"/>
      <c r="W61" s="130"/>
      <c r="X61" s="76"/>
      <c r="AJ61" s="42"/>
      <c r="AK61" s="42"/>
    </row>
    <row r="62" spans="1:37" ht="35" x14ac:dyDescent="0.35">
      <c r="A62" s="42"/>
      <c r="B62" s="8" t="s">
        <v>108</v>
      </c>
      <c r="C62" s="189">
        <f>V89</f>
        <v>213085.37349341181</v>
      </c>
      <c r="D62" s="190"/>
      <c r="E62" s="42"/>
      <c r="F62" s="42"/>
      <c r="G62" s="42"/>
      <c r="H62" s="42"/>
      <c r="I62" s="42"/>
      <c r="J62" s="42"/>
      <c r="K62" s="42"/>
      <c r="L62" s="76" t="s">
        <v>109</v>
      </c>
      <c r="M62">
        <v>3.8775097162565597</v>
      </c>
      <c r="N62">
        <v>0.20900971625655984</v>
      </c>
      <c r="O62">
        <v>0.93400000000000005</v>
      </c>
      <c r="P62" s="136">
        <f t="shared" ref="P62" si="39">M62-N62</f>
        <v>3.6684999999999999</v>
      </c>
      <c r="Q62" s="137">
        <f>IFERROR(((M62-N62*POWER(O62,AD32)-(P62))),0)</f>
        <v>0</v>
      </c>
      <c r="R62" s="137">
        <f t="shared" ref="R62" si="40">Q62*1000</f>
        <v>0</v>
      </c>
      <c r="S62" s="138">
        <f>R62*N32*M32</f>
        <v>0</v>
      </c>
      <c r="T62" s="139"/>
      <c r="U62" s="139"/>
      <c r="V62" s="139"/>
      <c r="W62" s="140"/>
      <c r="X62" s="136"/>
      <c r="AJ62" s="42"/>
      <c r="AK62" s="42"/>
    </row>
    <row r="63" spans="1:37" x14ac:dyDescent="0.3">
      <c r="A63" s="42"/>
      <c r="B63" s="92"/>
      <c r="C63" s="92"/>
      <c r="D63" s="92"/>
      <c r="E63" s="92"/>
      <c r="F63" s="9"/>
      <c r="G63" s="13"/>
      <c r="H63" s="13"/>
      <c r="I63" s="42"/>
      <c r="J63" s="42"/>
      <c r="K63" s="42"/>
      <c r="L63" s="76" t="s">
        <v>110</v>
      </c>
      <c r="M63" s="150">
        <v>5.241545677863706</v>
      </c>
      <c r="N63" s="150">
        <v>2.3295456778637065</v>
      </c>
      <c r="O63" s="150">
        <v>0.96899999999999997</v>
      </c>
      <c r="P63" s="136">
        <f t="shared" ref="P63:P70" si="41">M63-N63</f>
        <v>2.9119999999999995</v>
      </c>
      <c r="Q63" s="123">
        <f>IFERROR((M63-N63*POWER(O63,AB33)-(P63)),0)</f>
        <v>1.6373417752581756</v>
      </c>
      <c r="R63" s="137">
        <f t="shared" ref="R63:R70" si="42">Q63*1000</f>
        <v>1637.3417752581756</v>
      </c>
      <c r="S63" s="138">
        <f>R63*N33*M33</f>
        <v>16578.085474489028</v>
      </c>
      <c r="T63" s="139">
        <f>S63+S64+S65</f>
        <v>25406.878061011354</v>
      </c>
      <c r="U63" s="139">
        <f>T47</f>
        <v>4594.3186285141574</v>
      </c>
      <c r="V63" s="139">
        <f>T63-U63</f>
        <v>20812.559432497197</v>
      </c>
      <c r="W63" s="130">
        <f>R63+R64+R65</f>
        <v>2509.3212899764299</v>
      </c>
      <c r="X63" s="134">
        <f>IF(OR(M33=0,M33=1),$V$63,IF(M33&lt;1,$V$63/M33,IF(M33&gt;1,$V$63/M33,0)))</f>
        <v>51389.035635795546</v>
      </c>
      <c r="AJ63" s="42"/>
      <c r="AK63" s="42"/>
    </row>
    <row r="64" spans="1:37" x14ac:dyDescent="0.3">
      <c r="A64" s="42"/>
      <c r="B64" s="92"/>
      <c r="C64" s="92"/>
      <c r="D64" s="92"/>
      <c r="E64" s="92"/>
      <c r="F64" s="14"/>
      <c r="G64" s="13"/>
      <c r="H64" s="13"/>
      <c r="I64" s="42"/>
      <c r="J64" s="42"/>
      <c r="K64" s="42"/>
      <c r="L64" s="76" t="s">
        <v>111</v>
      </c>
      <c r="M64" s="150">
        <v>5.66460934634026</v>
      </c>
      <c r="N64" s="150">
        <v>0.8276093463402594</v>
      </c>
      <c r="O64" s="150">
        <v>0.872</v>
      </c>
      <c r="P64" s="77">
        <f t="shared" si="41"/>
        <v>4.8370000000000006</v>
      </c>
      <c r="Q64" s="123">
        <f>IFERROR(((M64-N64*POWER(O64,AC33)-(P64))),0)</f>
        <v>0.68757816532300442</v>
      </c>
      <c r="R64" s="123">
        <f t="shared" si="42"/>
        <v>687.57816532300444</v>
      </c>
      <c r="S64" s="132">
        <f>R64*N33*M33</f>
        <v>6961.7289238954208</v>
      </c>
      <c r="T64" s="133"/>
      <c r="U64" s="133"/>
      <c r="V64" s="133"/>
      <c r="W64" s="130"/>
      <c r="X64" s="76"/>
      <c r="AJ64" s="42"/>
      <c r="AK64" s="42"/>
    </row>
    <row r="65" spans="1:37" x14ac:dyDescent="0.3">
      <c r="A65" s="42"/>
      <c r="B65" s="92"/>
      <c r="C65" s="92"/>
      <c r="D65" s="92"/>
      <c r="E65" s="92"/>
      <c r="F65" s="91"/>
      <c r="G65" s="14"/>
      <c r="H65" s="14"/>
      <c r="I65" s="42"/>
      <c r="J65" s="42"/>
      <c r="K65" s="42"/>
      <c r="L65" s="76" t="s">
        <v>112</v>
      </c>
      <c r="M65" s="150">
        <v>6.3194757404366761</v>
      </c>
      <c r="N65" s="150">
        <v>0.5</v>
      </c>
      <c r="O65" s="150">
        <v>0.90500000000000003</v>
      </c>
      <c r="P65" s="77">
        <f t="shared" si="41"/>
        <v>5.8194757404366761</v>
      </c>
      <c r="Q65" s="137">
        <f>IFERROR(((M65-N65*POWER(O65,AD33)-(P65))),0)</f>
        <v>0.18440134939524988</v>
      </c>
      <c r="R65" s="123">
        <f t="shared" si="42"/>
        <v>184.40134939524989</v>
      </c>
      <c r="S65" s="132">
        <f>R65*N33*M33</f>
        <v>1867.0636626269052</v>
      </c>
      <c r="T65" s="133"/>
      <c r="U65" s="133"/>
      <c r="V65" s="133"/>
      <c r="W65" s="130"/>
      <c r="X65" s="76"/>
      <c r="AJ65" s="42"/>
      <c r="AK65" s="42"/>
    </row>
    <row r="66" spans="1:37" x14ac:dyDescent="0.3">
      <c r="A66" s="42"/>
      <c r="B66" s="92"/>
      <c r="C66" s="92"/>
      <c r="D66" s="92"/>
      <c r="E66" s="92"/>
      <c r="F66" s="91"/>
      <c r="G66" s="92"/>
      <c r="H66" s="92"/>
      <c r="I66" s="42"/>
      <c r="J66" s="42"/>
      <c r="K66" s="42"/>
      <c r="L66" s="76" t="s">
        <v>113</v>
      </c>
      <c r="M66" s="150">
        <v>2.2200000000007587</v>
      </c>
      <c r="N66" s="150">
        <v>1.2805000000007585</v>
      </c>
      <c r="O66" s="150">
        <v>0.87</v>
      </c>
      <c r="P66" s="77">
        <f t="shared" si="41"/>
        <v>0.93950000000000022</v>
      </c>
      <c r="Q66" s="123">
        <f>IFERROR((M66-N66*POWER(O66,AB34)-(P66)),0)</f>
        <v>1.1705377682182219</v>
      </c>
      <c r="R66" s="123">
        <f t="shared" si="42"/>
        <v>1170.5377682182218</v>
      </c>
      <c r="S66" s="132">
        <f>R66*N34*M34</f>
        <v>11851.694903209496</v>
      </c>
      <c r="T66" s="133">
        <f>S66+S67+S68</f>
        <v>21522.178857560357</v>
      </c>
      <c r="U66" s="133">
        <f>T48</f>
        <v>1986.5643401305467</v>
      </c>
      <c r="V66" s="133">
        <f>T66-U66</f>
        <v>19535.614517429811</v>
      </c>
      <c r="W66" s="130">
        <f>R66+R67+R68</f>
        <v>2125.6472945738624</v>
      </c>
      <c r="X66" s="134">
        <f>IF(OR(M34=0,M34=1),$V$66,IF(M34&lt;1,$V$66/M34,IF(M34&gt;1,$V$66/M34,0)))</f>
        <v>48236.085228221753</v>
      </c>
      <c r="AJ66" s="42"/>
      <c r="AK66" s="42"/>
    </row>
    <row r="67" spans="1:37" x14ac:dyDescent="0.3">
      <c r="A67" s="42"/>
      <c r="B67" s="92"/>
      <c r="C67" s="92"/>
      <c r="D67" s="92"/>
      <c r="E67" s="92"/>
      <c r="F67" s="91"/>
      <c r="G67" s="92"/>
      <c r="H67" s="92"/>
      <c r="I67" s="42"/>
      <c r="J67" s="42"/>
      <c r="K67" s="42"/>
      <c r="L67" s="76" t="s">
        <v>114</v>
      </c>
      <c r="M67" s="150">
        <v>2.2719924106647209</v>
      </c>
      <c r="N67" s="150">
        <v>1.071992410664721</v>
      </c>
      <c r="O67" s="150">
        <v>0.75</v>
      </c>
      <c r="P67" s="136">
        <f t="shared" si="41"/>
        <v>1.2</v>
      </c>
      <c r="Q67" s="123">
        <f>IFERROR(((M67-N67*POWER(O67,AC34)-(P67))),0)</f>
        <v>0.95510952635564039</v>
      </c>
      <c r="R67" s="123">
        <f t="shared" si="42"/>
        <v>955.10952635564036</v>
      </c>
      <c r="S67" s="132">
        <f>R67*N34*M34</f>
        <v>9670.4839543508606</v>
      </c>
      <c r="T67" s="133"/>
      <c r="U67" s="133"/>
      <c r="V67" s="133"/>
      <c r="W67" s="130"/>
      <c r="X67" s="76"/>
      <c r="AJ67" s="42"/>
      <c r="AK67" s="42"/>
    </row>
    <row r="68" spans="1:37" x14ac:dyDescent="0.3">
      <c r="A68" s="42"/>
      <c r="B68" s="92"/>
      <c r="C68" s="92"/>
      <c r="D68" s="92"/>
      <c r="E68" s="92"/>
      <c r="F68" s="91"/>
      <c r="G68" s="92"/>
      <c r="H68" s="92"/>
      <c r="I68" s="42"/>
      <c r="J68" s="42"/>
      <c r="K68" s="42"/>
      <c r="L68" s="76" t="s">
        <v>115</v>
      </c>
      <c r="M68" s="150">
        <v>1.73</v>
      </c>
      <c r="N68" s="150">
        <v>0</v>
      </c>
      <c r="O68" s="150">
        <v>1E-4</v>
      </c>
      <c r="P68" s="136">
        <f t="shared" si="41"/>
        <v>1.73</v>
      </c>
      <c r="Q68" s="137">
        <f>IFERROR(((M68-N68*POWER(O68,AD34)-(P68))),0)</f>
        <v>0</v>
      </c>
      <c r="R68" s="123">
        <f t="shared" si="42"/>
        <v>0</v>
      </c>
      <c r="S68" s="132">
        <f>R68*N34*M34</f>
        <v>0</v>
      </c>
      <c r="T68" s="133"/>
      <c r="U68" s="133"/>
      <c r="V68" s="133"/>
      <c r="W68" s="130"/>
      <c r="X68" s="76"/>
      <c r="AJ68" s="42"/>
      <c r="AK68" s="42"/>
    </row>
    <row r="69" spans="1:37" ht="46.5" customHeight="1" x14ac:dyDescent="0.35">
      <c r="A69" s="42"/>
      <c r="B69" s="188" t="s">
        <v>116</v>
      </c>
      <c r="C69" s="188"/>
      <c r="D69" s="188"/>
      <c r="E69" s="188"/>
      <c r="F69" s="188"/>
      <c r="G69" s="188"/>
      <c r="H69" s="188"/>
      <c r="I69" s="188"/>
      <c r="J69" s="24"/>
      <c r="K69" s="24"/>
      <c r="L69" s="135" t="s">
        <v>117</v>
      </c>
      <c r="M69" s="150">
        <v>39.250069982008</v>
      </c>
      <c r="N69" s="150">
        <v>6.6250699820080001</v>
      </c>
      <c r="O69">
        <v>0.90200000000000002</v>
      </c>
      <c r="P69" s="136">
        <f t="shared" si="41"/>
        <v>32.625</v>
      </c>
      <c r="Q69" s="137">
        <f>IFERROR((M69-N69*POWER(O69,AB35)-(P69)),0)</f>
        <v>6.3613897497908738</v>
      </c>
      <c r="R69" s="137">
        <f t="shared" si="42"/>
        <v>6361.3897497908738</v>
      </c>
      <c r="S69" s="138">
        <f>R69*N35*M35</f>
        <v>51527.256973306081</v>
      </c>
      <c r="T69" s="139">
        <f>S69+S70+S71</f>
        <v>95550.767527844087</v>
      </c>
      <c r="U69" s="139">
        <f>T49</f>
        <v>6095.8235851673826</v>
      </c>
      <c r="V69" s="139">
        <f>T69-U69</f>
        <v>89454.943942676706</v>
      </c>
      <c r="W69" s="140">
        <f>R69+R70+R71</f>
        <v>11796.391052820258</v>
      </c>
      <c r="X69" s="141">
        <f>IF(OR(M35=0,M35=1),$V$69,IF(M35&lt;1,$V$69/M35,IF(M35&gt;1,$V$69/M35,0)))</f>
        <v>220876.40479673259</v>
      </c>
      <c r="AJ69" s="24"/>
      <c r="AK69" s="24"/>
    </row>
    <row r="70" spans="1:37" ht="18" customHeight="1" x14ac:dyDescent="0.35">
      <c r="A70" s="42"/>
      <c r="B70" s="92"/>
      <c r="C70" s="92"/>
      <c r="D70" s="92"/>
      <c r="E70" s="92"/>
      <c r="F70" s="91"/>
      <c r="G70" s="92"/>
      <c r="H70" s="92"/>
      <c r="I70" s="42"/>
      <c r="J70" s="42"/>
      <c r="K70" s="42"/>
      <c r="L70" s="135" t="s">
        <v>118</v>
      </c>
      <c r="M70">
        <v>24.531016117111903</v>
      </c>
      <c r="N70">
        <v>1.6810161171119056</v>
      </c>
      <c r="O70">
        <v>0.9</v>
      </c>
      <c r="P70" s="136">
        <f t="shared" si="41"/>
        <v>22.849999999999998</v>
      </c>
      <c r="Q70" s="137">
        <f>IFERROR(((M70-N70*POWER(O70,AC35)-(P70))),0)</f>
        <v>1.5276326106471281</v>
      </c>
      <c r="R70" s="137">
        <f t="shared" si="42"/>
        <v>1527.6326106471281</v>
      </c>
      <c r="S70" s="138">
        <f>R70*N35*M35</f>
        <v>12373.824146241737</v>
      </c>
      <c r="T70" s="139"/>
      <c r="U70" s="139"/>
      <c r="V70" s="139"/>
      <c r="W70" s="140"/>
      <c r="X70" s="141"/>
      <c r="AJ70" s="42"/>
      <c r="AK70" s="42"/>
    </row>
    <row r="71" spans="1:37" ht="30" customHeight="1" x14ac:dyDescent="0.35">
      <c r="A71" s="42"/>
      <c r="B71" s="186" t="s">
        <v>119</v>
      </c>
      <c r="C71" s="186"/>
      <c r="D71" s="186"/>
      <c r="E71" s="186"/>
      <c r="F71" s="186"/>
      <c r="G71" s="186"/>
      <c r="H71" s="186"/>
      <c r="I71" s="186"/>
      <c r="J71" s="24"/>
      <c r="K71" s="24"/>
      <c r="L71" s="135" t="s">
        <v>120</v>
      </c>
      <c r="M71">
        <v>32.559612274235008</v>
      </c>
      <c r="N71">
        <v>5.5246122742350048</v>
      </c>
      <c r="O71">
        <v>0.92866666666666664</v>
      </c>
      <c r="P71" s="136">
        <f t="shared" ref="P71" si="43">M71-N71</f>
        <v>27.035000000000004</v>
      </c>
      <c r="Q71" s="137">
        <f>IFERROR(((M71-N71*POWER(O71,AD35)-(P71))),0)</f>
        <v>3.9073686923822564</v>
      </c>
      <c r="R71" s="137">
        <f t="shared" ref="R71:R76" si="44">Q71*1000</f>
        <v>3907.3686923822565</v>
      </c>
      <c r="S71" s="138">
        <f>R71*N35*M35</f>
        <v>31649.686408296278</v>
      </c>
      <c r="T71" s="139"/>
      <c r="U71" s="139"/>
      <c r="V71" s="139"/>
      <c r="W71" s="140"/>
      <c r="X71" s="136"/>
      <c r="AJ71" s="24"/>
      <c r="AK71" s="24"/>
    </row>
    <row r="72" spans="1:37" ht="14.5" x14ac:dyDescent="0.35">
      <c r="A72" s="42"/>
      <c r="B72" s="92"/>
      <c r="C72" s="92"/>
      <c r="D72" s="92"/>
      <c r="E72" s="92"/>
      <c r="F72" s="42"/>
      <c r="G72" s="42"/>
      <c r="H72" s="42"/>
      <c r="I72" s="42"/>
      <c r="J72" s="42"/>
      <c r="K72" s="42"/>
      <c r="L72" s="76" t="s">
        <v>121</v>
      </c>
      <c r="M72">
        <v>1.0818676349457408</v>
      </c>
      <c r="N72">
        <v>0.33086763494574067</v>
      </c>
      <c r="O72">
        <v>0.88500000000000001</v>
      </c>
      <c r="P72" s="136">
        <f>M72-N72</f>
        <v>0.75100000000000011</v>
      </c>
      <c r="Q72" s="137">
        <f>IFERROR((M72-N72*POWER(O72,AB36)-(P72)),0)</f>
        <v>0.25611088790001135</v>
      </c>
      <c r="R72" s="137">
        <f>Q72*1000</f>
        <v>256.11088790001133</v>
      </c>
      <c r="S72" s="138">
        <f>R72*N36*M36</f>
        <v>6223.4945759702759</v>
      </c>
      <c r="T72" s="139">
        <f>S72+S73+S74</f>
        <v>13098.768926656829</v>
      </c>
      <c r="U72" s="139">
        <f>T50</f>
        <v>2378.0551767077345</v>
      </c>
      <c r="V72" s="139">
        <f>T72-U72</f>
        <v>10720.713749949095</v>
      </c>
      <c r="W72" s="130">
        <f>R72+R73+R74</f>
        <v>539.04398875130983</v>
      </c>
      <c r="X72" s="134">
        <f>IF(OR(M36=0,M36=1),$V$72,IF(M36&lt;1,$V$72/M36,IF(M36&gt;1,$V$72/M36,0)))</f>
        <v>26470.898148022454</v>
      </c>
      <c r="AJ72" s="42"/>
      <c r="AK72" s="42"/>
    </row>
    <row r="73" spans="1:37" ht="47.25" customHeight="1" x14ac:dyDescent="0.35">
      <c r="A73" s="42"/>
      <c r="B73" s="186" t="s">
        <v>122</v>
      </c>
      <c r="C73" s="186"/>
      <c r="D73" s="186"/>
      <c r="E73" s="186"/>
      <c r="F73" s="186"/>
      <c r="G73" s="186"/>
      <c r="H73" s="186"/>
      <c r="I73" s="186"/>
      <c r="J73" s="24"/>
      <c r="K73" s="24"/>
      <c r="L73" s="76" t="s">
        <v>123</v>
      </c>
      <c r="M73">
        <v>0.73017681957720526</v>
      </c>
      <c r="N73">
        <v>0.18017681957720522</v>
      </c>
      <c r="O73">
        <v>0.84</v>
      </c>
      <c r="P73" s="136">
        <f t="shared" ref="P73" si="45">M73-N73</f>
        <v>0.55000000000000004</v>
      </c>
      <c r="Q73" s="137">
        <f>IFERROR(((M73-N73*POWER(O73,AC36)-(P73))),0)</f>
        <v>0.14182942997855419</v>
      </c>
      <c r="R73" s="137">
        <f t="shared" si="44"/>
        <v>141.8294299785542</v>
      </c>
      <c r="S73" s="138">
        <f>R73*N36*M36</f>
        <v>3446.4551484788672</v>
      </c>
      <c r="T73" s="139"/>
      <c r="U73" s="139"/>
      <c r="V73" s="139"/>
      <c r="W73" s="140"/>
      <c r="X73" s="141"/>
      <c r="AJ73" s="24"/>
      <c r="AK73" s="24"/>
    </row>
    <row r="74" spans="1:37" ht="21" customHeight="1" x14ac:dyDescent="0.3">
      <c r="A74" s="42"/>
      <c r="B74" s="92"/>
      <c r="C74" s="92"/>
      <c r="D74" s="92"/>
      <c r="E74" s="92"/>
      <c r="F74" s="91"/>
      <c r="G74" s="42"/>
      <c r="H74" s="42"/>
      <c r="I74" s="42"/>
      <c r="J74" s="42"/>
      <c r="K74" s="42"/>
      <c r="L74" s="76" t="s">
        <v>124</v>
      </c>
      <c r="M74" s="150">
        <v>2.1169309599380837</v>
      </c>
      <c r="N74" s="150">
        <v>0.26443095993808363</v>
      </c>
      <c r="O74" s="150">
        <v>0.88900000000000001</v>
      </c>
      <c r="P74" s="77">
        <f>M74-N74</f>
        <v>1.8525</v>
      </c>
      <c r="Q74" s="123">
        <f>IFERROR(((M74-N74*POWER(O74,AD36)-(P74))),0)</f>
        <v>0.14110367087274422</v>
      </c>
      <c r="R74" s="123">
        <f t="shared" si="44"/>
        <v>141.10367087274423</v>
      </c>
      <c r="S74" s="132">
        <f>R74*N36*M36</f>
        <v>3428.8192022076851</v>
      </c>
      <c r="T74" s="77"/>
      <c r="U74" s="77"/>
      <c r="V74" s="77"/>
      <c r="W74" s="130"/>
      <c r="X74" s="134"/>
      <c r="AJ74" s="42"/>
      <c r="AK74" s="42"/>
    </row>
    <row r="75" spans="1:37" ht="15.75" customHeight="1" x14ac:dyDescent="0.3">
      <c r="A75" s="42"/>
      <c r="B75" s="186" t="s">
        <v>125</v>
      </c>
      <c r="C75" s="186"/>
      <c r="D75" s="186"/>
      <c r="E75" s="186"/>
      <c r="F75" s="186"/>
      <c r="G75" s="186"/>
      <c r="H75" s="186"/>
      <c r="I75" s="186"/>
      <c r="J75" s="42"/>
      <c r="K75" s="42"/>
      <c r="L75" s="76" t="s">
        <v>126</v>
      </c>
      <c r="M75" s="150">
        <v>0</v>
      </c>
      <c r="N75" s="150">
        <v>0</v>
      </c>
      <c r="O75" s="150">
        <v>0.90400000000000003</v>
      </c>
      <c r="P75" s="77">
        <f>M75-N75</f>
        <v>0</v>
      </c>
      <c r="Q75" s="123">
        <f>IFERROR((M75-N75*POWER(O75,AB37)-(P75)),0)</f>
        <v>0</v>
      </c>
      <c r="R75" s="123">
        <f t="shared" si="44"/>
        <v>0</v>
      </c>
      <c r="S75" s="132">
        <f>R75*N37*M37</f>
        <v>0</v>
      </c>
      <c r="T75" s="133">
        <f>S75+S76+S77</f>
        <v>3217.7645476116727</v>
      </c>
      <c r="U75" s="133">
        <f>T51</f>
        <v>955.52340046890924</v>
      </c>
      <c r="V75" s="133">
        <f>T75-U75</f>
        <v>2262.2411471427636</v>
      </c>
      <c r="W75" s="130">
        <f>R75+R76+R77</f>
        <v>144.45632088043425</v>
      </c>
      <c r="X75" s="134">
        <f>IF(OR(M37=0,M37=1),$V$75,IF(M37&lt;1,$V$75/M37,IF(M37&gt;1,$V$75/M37,0)))</f>
        <v>5585.7806102290451</v>
      </c>
      <c r="AJ75" s="42"/>
      <c r="AK75" s="42"/>
    </row>
    <row r="76" spans="1:37" x14ac:dyDescent="0.3">
      <c r="A76" s="42"/>
      <c r="B76" s="42"/>
      <c r="C76" s="42"/>
      <c r="D76" s="15"/>
      <c r="E76" s="15"/>
      <c r="F76" s="42"/>
      <c r="G76" s="42"/>
      <c r="H76" s="42"/>
      <c r="I76" s="42"/>
      <c r="J76" s="42"/>
      <c r="K76" s="42"/>
      <c r="L76" s="76" t="s">
        <v>127</v>
      </c>
      <c r="M76" s="150">
        <v>1.2299063902494127</v>
      </c>
      <c r="N76" s="150">
        <v>0.28790639024941267</v>
      </c>
      <c r="O76" s="150">
        <v>0.90400000000000003</v>
      </c>
      <c r="P76" s="136">
        <f t="shared" ref="P76" si="46">M76-N76</f>
        <v>0.94200000000000006</v>
      </c>
      <c r="Q76" s="137">
        <f>IFERROR(((M76-N76*POWER(O76,AC37)-(P76))),0)</f>
        <v>9.925427529971953E-2</v>
      </c>
      <c r="R76" s="137">
        <f t="shared" si="44"/>
        <v>99.254275299719524</v>
      </c>
      <c r="S76" s="138">
        <f>R76*N37*M37</f>
        <v>2210.8889823012523</v>
      </c>
      <c r="T76" s="139"/>
      <c r="U76" s="139"/>
      <c r="V76" s="139"/>
      <c r="W76" s="140"/>
      <c r="X76" s="141"/>
      <c r="AJ76" s="42"/>
      <c r="AK76" s="42"/>
    </row>
    <row r="77" spans="1:37" x14ac:dyDescent="0.3">
      <c r="A77" s="42"/>
      <c r="B77" s="9"/>
      <c r="C77" s="9"/>
      <c r="D77" s="9"/>
      <c r="E77" s="9"/>
      <c r="F77" s="9"/>
      <c r="G77" s="9"/>
      <c r="H77" s="42"/>
      <c r="I77" s="42"/>
      <c r="J77" s="42"/>
      <c r="K77" s="42"/>
      <c r="L77" s="76" t="s">
        <v>128</v>
      </c>
      <c r="M77" s="150">
        <v>1.3907128204532553</v>
      </c>
      <c r="N77" s="150">
        <v>0.15071282045325529</v>
      </c>
      <c r="O77" s="150">
        <v>0.89</v>
      </c>
      <c r="P77" s="77">
        <f>M77-N77</f>
        <v>1.24</v>
      </c>
      <c r="Q77" s="123">
        <f>IFERROR(((M77-N77*POWER(O77,AD37)-(P77))),0)</f>
        <v>4.5202045580714723E-2</v>
      </c>
      <c r="R77" s="123">
        <f t="shared" ref="R77:R79" si="47">Q77*1000</f>
        <v>45.202045580714724</v>
      </c>
      <c r="S77" s="132">
        <f>R77*N37*M37</f>
        <v>1006.8755653104205</v>
      </c>
      <c r="T77" s="77"/>
      <c r="U77" s="76"/>
      <c r="V77" s="76"/>
      <c r="W77" s="130"/>
      <c r="X77" s="77"/>
      <c r="AJ77" s="42"/>
      <c r="AK77" s="42"/>
    </row>
    <row r="78" spans="1:37" x14ac:dyDescent="0.3">
      <c r="A78" s="42"/>
      <c r="B78" s="15"/>
      <c r="C78" s="9"/>
      <c r="D78" s="9"/>
      <c r="E78" s="9"/>
      <c r="F78" s="9"/>
      <c r="G78" s="9"/>
      <c r="H78" s="42"/>
      <c r="I78" s="42"/>
      <c r="J78" s="42"/>
      <c r="K78" s="42"/>
      <c r="L78" s="148" t="s">
        <v>129</v>
      </c>
      <c r="M78" s="158">
        <f>IFERROR(M60-0.821+0.5*$N$36/$N$32,0)</f>
        <v>3.6699852377554043</v>
      </c>
      <c r="N78" s="159">
        <f>IFERROR(N60+0.37+0.043*$N$36/$N$32,0)</f>
        <v>1.9026852377554035</v>
      </c>
      <c r="O78" s="159">
        <v>0.95099999999999996</v>
      </c>
      <c r="P78" s="77">
        <f>M78-N78</f>
        <v>1.7673000000000008</v>
      </c>
      <c r="Q78" s="123">
        <f>IFERROR((M78-N78*POWER(O78,AB38)-(P78)),0)</f>
        <v>1.5148194929807188</v>
      </c>
      <c r="R78" s="123">
        <f>Q78*1000</f>
        <v>1514.8194929807189</v>
      </c>
      <c r="S78" s="77">
        <f>R78*M38*N38</f>
        <v>30675.094732859561</v>
      </c>
      <c r="T78" s="77">
        <f>S78+S79+S80</f>
        <v>49035.038696878641</v>
      </c>
      <c r="U78" s="130">
        <f>T52</f>
        <v>7134.6562376074871</v>
      </c>
      <c r="V78" s="130">
        <f>T78-U78</f>
        <v>41900.382459271153</v>
      </c>
      <c r="W78" s="123">
        <f>R78+R79+R80</f>
        <v>2421.4833924384511</v>
      </c>
      <c r="X78" s="77">
        <f>IF(OR(M38=0,M38=1),$V$78,IF(M38&lt;1,$V$78/M38,IF(M40&gt;1,$V$78/M38,0)))</f>
        <v>51728.86723366809</v>
      </c>
      <c r="AJ78" s="42"/>
      <c r="AK78" s="42"/>
    </row>
    <row r="79" spans="1:37" x14ac:dyDescent="0.3">
      <c r="L79" s="148" t="s">
        <v>130</v>
      </c>
      <c r="M79" s="158">
        <f>IFERROR(M61-1.382+0.59*$N$36/$N$32,0)</f>
        <v>3.8247028723984644</v>
      </c>
      <c r="N79" s="159">
        <f>IFERROR(N61-0.27+0.083*$N$36/$N$32,0)</f>
        <v>1.1004028723984642</v>
      </c>
      <c r="O79" s="161">
        <v>0.88200000000000001</v>
      </c>
      <c r="P79" s="77">
        <f t="shared" ref="P79:P80" si="48">M79-N79</f>
        <v>2.7243000000000004</v>
      </c>
      <c r="Q79" s="123">
        <f>IFERROR((M79-N79*POWER(O79,AC38)-(P79)),0)</f>
        <v>0.90666389945773229</v>
      </c>
      <c r="R79" s="123">
        <f t="shared" si="47"/>
        <v>906.66389945773233</v>
      </c>
      <c r="S79" s="77">
        <f>R79*M38*N38</f>
        <v>18359.943964019079</v>
      </c>
      <c r="T79" s="77"/>
      <c r="U79" s="77"/>
      <c r="V79" s="77"/>
      <c r="W79" s="77"/>
      <c r="X79" s="77"/>
    </row>
    <row r="80" spans="1:37" x14ac:dyDescent="0.3">
      <c r="L80" s="148" t="s">
        <v>131</v>
      </c>
      <c r="M80" s="158">
        <f>IFERROR(M62-0.621+0.67*$N$36/$N$32,0)</f>
        <v>4.8645097162565598</v>
      </c>
      <c r="N80" s="159">
        <f>IFERROR(N62+0.171-0.008*$N$36/$N$32,0)</f>
        <v>0.36080971625655989</v>
      </c>
      <c r="O80" s="160">
        <f>O62</f>
        <v>0.93400000000000005</v>
      </c>
      <c r="P80" s="77">
        <f t="shared" si="48"/>
        <v>4.5037000000000003</v>
      </c>
      <c r="Q80" s="123">
        <f>IFERROR((M80-N80*POWER(O80,AD38)-(P80)),0)</f>
        <v>0</v>
      </c>
      <c r="R80" s="123">
        <f>Q80*1000</f>
        <v>0</v>
      </c>
      <c r="S80" s="77">
        <f>R80*M38*N38</f>
        <v>0</v>
      </c>
      <c r="T80" s="77"/>
      <c r="U80" s="77"/>
      <c r="V80" s="77"/>
      <c r="W80" s="77"/>
      <c r="X80" s="77"/>
    </row>
    <row r="81" spans="9:24" x14ac:dyDescent="0.3"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</row>
    <row r="82" spans="9:24" ht="15.5" x14ac:dyDescent="0.3">
      <c r="M82" s="93"/>
      <c r="N82" s="93"/>
      <c r="O82" s="93"/>
      <c r="P82" s="60"/>
      <c r="Q82" s="60"/>
      <c r="R82" s="70"/>
      <c r="S82" s="61"/>
      <c r="T82" s="61"/>
      <c r="U82" s="61"/>
      <c r="V82" s="61"/>
      <c r="W82" s="94"/>
      <c r="X82" s="94"/>
    </row>
    <row r="83" spans="9:24" ht="15.5" x14ac:dyDescent="0.3">
      <c r="M83" s="93"/>
      <c r="N83" s="93"/>
      <c r="O83" s="93"/>
      <c r="P83" s="60"/>
      <c r="Q83" s="60"/>
      <c r="R83" s="70"/>
      <c r="S83" s="61"/>
      <c r="T83" s="61"/>
      <c r="U83" s="61"/>
      <c r="V83" s="61"/>
      <c r="W83" s="94"/>
      <c r="X83" s="94"/>
    </row>
    <row r="86" spans="9:24" x14ac:dyDescent="0.3">
      <c r="S86" s="95"/>
      <c r="W86" s="96"/>
    </row>
    <row r="87" spans="9:24" x14ac:dyDescent="0.3">
      <c r="S87" s="95"/>
      <c r="T87" s="62" t="s">
        <v>132</v>
      </c>
      <c r="U87" s="63"/>
      <c r="V87" s="64"/>
    </row>
    <row r="88" spans="9:24" x14ac:dyDescent="0.3">
      <c r="I88" s="43" t="s">
        <v>49</v>
      </c>
      <c r="S88" s="60"/>
      <c r="T88" s="49" t="s">
        <v>133</v>
      </c>
      <c r="U88" s="47" t="s">
        <v>134</v>
      </c>
      <c r="V88" s="48" t="s">
        <v>135</v>
      </c>
    </row>
    <row r="89" spans="9:24" x14ac:dyDescent="0.3">
      <c r="T89" s="86">
        <f>SUM(T60:T80)</f>
        <v>243085.37349381985</v>
      </c>
      <c r="U89" s="87">
        <f>SUM(U60:U80)</f>
        <v>30000.000000408014</v>
      </c>
      <c r="V89" s="88">
        <f>SUM(V60:V80)</f>
        <v>213085.37349341181</v>
      </c>
    </row>
  </sheetData>
  <sheetProtection password="C75C" sheet="1" objects="1" scenarios="1"/>
  <mergeCells count="28">
    <mergeCell ref="AB30:AD30"/>
    <mergeCell ref="O30:S30"/>
    <mergeCell ref="T30:AA30"/>
    <mergeCell ref="N16:X16"/>
    <mergeCell ref="L30:N30"/>
    <mergeCell ref="Y16:AA16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C10:D10"/>
    <mergeCell ref="C12:D12"/>
    <mergeCell ref="C11:D11"/>
    <mergeCell ref="B24:F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82550</xdr:rowOff>
                  </from>
                  <to>
                    <xdr:col>1</xdr:col>
                    <xdr:colOff>1663700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425450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1758950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101600</xdr:rowOff>
                  </from>
                  <to>
                    <xdr:col>1</xdr:col>
                    <xdr:colOff>1663700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101600</xdr:rowOff>
                  </from>
                  <to>
                    <xdr:col>11</xdr:col>
                    <xdr:colOff>1663700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C50C4F-DC3D-4B05-B6FC-8F6760523FBC}">
  <ds:schemaRefs>
    <ds:schemaRef ds:uri="http://purl.org/dc/terms/"/>
    <ds:schemaRef ds:uri="http://purl.org/dc/dcmitype/"/>
    <ds:schemaRef ds:uri="cfcaa660-3182-4f27-8fa7-16736e9283fd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a2a5ef5-46a6-42c7-b9b9-d957781a302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F5E2A26-EB36-4A14-B983-2F253B802E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C8B0BA-83BF-4472-8B2C-6D8DA4BF9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2026-01-06T20:51:25Z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  <property fmtid="{D5CDD505-2E9C-101B-9397-08002B2CF9AE}" pid="3" name="MediaServiceImageTags">
    <vt:lpwstr/>
  </property>
</Properties>
</file>