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Paper fertilizer optimization tools/Nigeria 9 crop FOT with intercropping/New folder/"/>
    </mc:Choice>
  </mc:AlternateContent>
  <xr:revisionPtr revIDLastSave="0" documentId="8_{F220D8DA-57E5-469F-A186-BC896B66535E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 calcOnSave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6" i="2" l="1"/>
  <c r="M33" i="2" l="1"/>
  <c r="M34" i="2"/>
  <c r="M35" i="2"/>
  <c r="M36" i="2"/>
  <c r="M37" i="2"/>
  <c r="M38" i="2"/>
  <c r="M39" i="2"/>
  <c r="M40" i="2"/>
  <c r="M32" i="2"/>
  <c r="L94" i="2" l="1"/>
  <c r="S47" i="2"/>
  <c r="T26" i="2"/>
  <c r="X25" i="2"/>
  <c r="X26" i="2"/>
  <c r="W25" i="2"/>
  <c r="W26" i="2"/>
  <c r="V25" i="2"/>
  <c r="V26" i="2"/>
  <c r="U25" i="2"/>
  <c r="U26" i="2"/>
  <c r="U24" i="2"/>
  <c r="T25" i="2"/>
  <c r="T24" i="2"/>
  <c r="T22" i="2"/>
  <c r="U21" i="2" l="1"/>
  <c r="U20" i="2"/>
  <c r="U19" i="2"/>
  <c r="U18" i="2"/>
  <c r="T23" i="2"/>
  <c r="T21" i="2"/>
  <c r="T20" i="2"/>
  <c r="T19" i="2"/>
  <c r="T18" i="2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4" i="2" l="1"/>
  <c r="P95" i="2"/>
  <c r="P98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39" i="2"/>
  <c r="N40" i="2"/>
  <c r="N25" i="2"/>
  <c r="N20" i="2"/>
  <c r="N26" i="2"/>
  <c r="L40" i="2"/>
  <c r="L39" i="2"/>
  <c r="C25" i="2"/>
  <c r="X19" i="2" l="1"/>
  <c r="X20" i="2"/>
  <c r="X21" i="2"/>
  <c r="X22" i="2"/>
  <c r="X23" i="2"/>
  <c r="X24" i="2"/>
  <c r="X18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Q94" i="2" s="1"/>
  <c r="R94" i="2" s="1"/>
  <c r="S94" i="2" s="1"/>
  <c r="AA40" i="2"/>
  <c r="AE40" i="2" s="1"/>
  <c r="Q98" i="2" s="1"/>
  <c r="R98" i="2" s="1"/>
  <c r="S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AA31" i="2" l="1"/>
  <c r="Y31" i="2"/>
  <c r="S17" i="2"/>
  <c r="Z31" i="2"/>
  <c r="S31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N96" i="2" l="1"/>
  <c r="M96" i="2"/>
  <c r="O97" i="2"/>
  <c r="N97" i="2"/>
  <c r="M97" i="2"/>
  <c r="N92" i="2"/>
  <c r="M92" i="2"/>
  <c r="N93" i="2"/>
  <c r="M93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7" i="2" l="1"/>
  <c r="Q97" i="2"/>
  <c r="R97" i="2" s="1"/>
  <c r="S97" i="2" s="1"/>
  <c r="P93" i="2"/>
  <c r="Q93" i="2" s="1"/>
  <c r="R93" i="2" s="1"/>
  <c r="S93" i="2" s="1"/>
  <c r="P92" i="2"/>
  <c r="Q92" i="2"/>
  <c r="R92" i="2" s="1"/>
  <c r="P96" i="2"/>
  <c r="Q96" i="2"/>
  <c r="R96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W96" i="2" l="1"/>
  <c r="C66" i="2" s="1"/>
  <c r="S96" i="2"/>
  <c r="T96" i="2" s="1"/>
  <c r="V96" i="2" s="1"/>
  <c r="X96" i="2" s="1"/>
  <c r="D66" i="2" s="1"/>
  <c r="S92" i="2"/>
  <c r="T92" i="2" s="1"/>
  <c r="V92" i="2" s="1"/>
  <c r="X92" i="2" s="1"/>
  <c r="D65" i="2" s="1"/>
  <c r="W92" i="2"/>
  <c r="C65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7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<sst xmlns="http://schemas.openxmlformats.org/spreadsheetml/2006/main" count="178" uniqueCount="157">
  <si>
    <t>Urea</t>
  </si>
  <si>
    <t>TSP</t>
  </si>
  <si>
    <t>DAP</t>
  </si>
  <si>
    <t>KCL</t>
  </si>
  <si>
    <t>Triple Super Phosphate</t>
  </si>
  <si>
    <t>Diammonium Phosphate</t>
  </si>
  <si>
    <t>Potassium</t>
  </si>
  <si>
    <t>KCl</t>
  </si>
  <si>
    <t>TSP Min</t>
  </si>
  <si>
    <t>DAP Min</t>
  </si>
  <si>
    <t>KCl Min</t>
  </si>
  <si>
    <t>TSP Max</t>
  </si>
  <si>
    <t>DAP Max</t>
  </si>
  <si>
    <t>KCl Max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</si>
  <si>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</si>
  <si>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</si>
  <si>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</si>
  <si>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</si>
  <si>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</si>
  <si>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</si>
  <si>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</si>
  <si>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</si>
  <si>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</si>
  <si>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</si>
  <si>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Triple super phosphate, TSP</t>
  </si>
  <si>
    <t>Producer Name: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</si>
  <si>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</si>
  <si>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</si>
  <si>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</si>
  <si>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</si>
  <si>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</si>
  <si>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</si>
  <si>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</si>
  <si>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</si>
  <si>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</si>
  <si>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</si>
  <si>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</si>
  <si>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</si>
  <si>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</si>
  <si>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</si>
  <si>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</si>
  <si>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</si>
  <si>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</si>
  <si>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Prix/kg</t>
  </si>
  <si>
    <t>Prepared By:</t>
  </si>
  <si>
    <t>Date Prepared:</t>
  </si>
  <si>
    <t>Crop Selection and Prices</t>
  </si>
  <si>
    <t>Crop</t>
  </si>
  <si>
    <t>Expected 
Grain Value/kg †</t>
  </si>
  <si>
    <t>Fertilizer Product</t>
  </si>
  <si>
    <t>Costs/50 kg bag ¶*</t>
  </si>
  <si>
    <t>Fertilizer Selection and Prices</t>
  </si>
  <si>
    <t>Budget Constraint</t>
  </si>
  <si>
    <t>Amount available to invest in fertilizer</t>
  </si>
  <si>
    <t>Murate of potash, KCL</t>
  </si>
  <si>
    <t>Fertilizer Optimization</t>
  </si>
  <si>
    <t>Crops</t>
  </si>
  <si>
    <t>Yield Increases</t>
  </si>
  <si>
    <t>Net Returns</t>
  </si>
  <si>
    <t>Total Expected Net Returns to Fertilizer</t>
  </si>
  <si>
    <t>Total net returns to investment in fertilizer</t>
  </si>
  <si>
    <t>Total fertilizer amount</t>
  </si>
  <si>
    <t>Sum</t>
  </si>
  <si>
    <t>*</t>
  </si>
  <si>
    <t>to be specified by crop entered by programmer</t>
  </si>
  <si>
    <t>N</t>
  </si>
  <si>
    <t>P2O5</t>
  </si>
  <si>
    <t>Maize LP N</t>
  </si>
  <si>
    <t>Maize LP P</t>
  </si>
  <si>
    <t>Maize LP K</t>
  </si>
  <si>
    <t>Maize HP N</t>
  </si>
  <si>
    <t>Maize HP P</t>
  </si>
  <si>
    <t>Maize HP K</t>
  </si>
  <si>
    <t>Fertilizer</t>
  </si>
  <si>
    <t>Murate of Potash</t>
  </si>
  <si>
    <t>Sulphate of Ammonia</t>
  </si>
  <si>
    <t>Abbreviation</t>
  </si>
  <si>
    <t>Nitrogen</t>
  </si>
  <si>
    <t>Phosphorous</t>
  </si>
  <si>
    <t>Sulphur</t>
  </si>
  <si>
    <t xml:space="preserve">Fertilizer Constraints </t>
  </si>
  <si>
    <t>Fertilizer Nutrient Total Maxes</t>
  </si>
  <si>
    <t>Urea Min</t>
  </si>
  <si>
    <t>Urea Max</t>
  </si>
  <si>
    <t>SA Max</t>
  </si>
  <si>
    <t>N Sum</t>
  </si>
  <si>
    <t>P Sum</t>
  </si>
  <si>
    <t>K Sum</t>
  </si>
  <si>
    <t>S sum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</si>
  <si>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</si>
  <si>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</si>
  <si>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</si>
  <si>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</si>
  <si>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</si>
  <si>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</si>
  <si>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</si>
  <si>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>Urea kg (N)</t>
  </si>
  <si>
    <t>Sulp kg (S)</t>
  </si>
  <si>
    <t>Total Fertilizer needed</t>
  </si>
  <si>
    <t>Accumulated Sums</t>
  </si>
  <si>
    <t xml:space="preserve"> Net Value</t>
  </si>
  <si>
    <t xml:space="preserve"> Fertilizer Cost</t>
  </si>
  <si>
    <t xml:space="preserve"> Net Returns</t>
  </si>
  <si>
    <t>Crop and Yield Responses</t>
  </si>
  <si>
    <t>Returns and Expenses</t>
  </si>
  <si>
    <t>Functions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</si>
  <si>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</si>
  <si>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</si>
  <si>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</si>
  <si>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</si>
  <si>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</si>
  <si>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</si>
  <si>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</si>
  <si>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 xml:space="preserve">Fertilizer Cost </t>
  </si>
  <si>
    <t xml:space="preserve">Urea </t>
  </si>
  <si>
    <t>Fertilizer Cost/Crop</t>
  </si>
  <si>
    <t>K20</t>
  </si>
  <si>
    <t>Application Rate - kg/ha</t>
  </si>
  <si>
    <t>Expected Average Effects per ha</t>
  </si>
  <si>
    <t>Area Planted 
(ha)*</t>
  </si>
  <si>
    <t>NIGERIAN NORTHERN GUINEA SAVANA</t>
  </si>
  <si>
    <t>Soybean</t>
  </si>
  <si>
    <t>Maize LP &lt;3t</t>
  </si>
  <si>
    <t>Maize HP &gt;3t</t>
  </si>
  <si>
    <t>Rice Lowland</t>
  </si>
  <si>
    <t>Rice Upland</t>
  </si>
  <si>
    <t>Sorghum</t>
  </si>
  <si>
    <t>Groundnut (unshelled)</t>
  </si>
  <si>
    <t>Cowpea</t>
  </si>
  <si>
    <t>Sorghum groundnut intercrop</t>
  </si>
  <si>
    <t>Soybean N</t>
  </si>
  <si>
    <t>Soybean P</t>
  </si>
  <si>
    <t>Soybean K</t>
  </si>
  <si>
    <t>Groundnut N</t>
  </si>
  <si>
    <t>Groundnut P</t>
  </si>
  <si>
    <t>Groundnut K</t>
  </si>
  <si>
    <t>Rice lowland N</t>
  </si>
  <si>
    <t>Rice Lowland P</t>
  </si>
  <si>
    <t>Rice lowland K</t>
  </si>
  <si>
    <t>Rice Upland N</t>
  </si>
  <si>
    <t>Rice Upland P</t>
  </si>
  <si>
    <t>Rice upland K</t>
  </si>
  <si>
    <t>Sorghum N</t>
  </si>
  <si>
    <t>Sorghum P</t>
  </si>
  <si>
    <t>Sorghum K</t>
  </si>
  <si>
    <t>Credits: Tarfa,B. et al; of Institute For Agricultural Research Ahmadu Bello Unmiversity Zaria Nigeria and Charles Wortmann, Jim Jansen and Matthew Stockton, Universirty of Nebraska-Lincoln, USA</t>
  </si>
  <si>
    <t>For information, contact: Tarfa Bitrus Dawi;btarfa@yahoo.com; +2348037033166</t>
  </si>
  <si>
    <t>Acknowledgements: support of personnel of Institute For Agricultural Research Ahmadu Bello University, Zaria Nigeria and funding support from the Alliance for a  Green Revolution in Africa--Soil Health Programme, and University of Nebraska-Lincoln.</t>
  </si>
  <si>
    <t>ZS</t>
  </si>
  <si>
    <t>Soybean Zn</t>
  </si>
  <si>
    <t>Groundnut Zn</t>
  </si>
  <si>
    <t>Maize LP Zn</t>
  </si>
  <si>
    <t>Maize HP Zn</t>
  </si>
  <si>
    <t>Rice lowland Zn</t>
  </si>
  <si>
    <t>Rice upland zn</t>
  </si>
  <si>
    <t>Sorghum Zn</t>
  </si>
  <si>
    <t>ZnS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</si>
</sst>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6" borderId="0" xfId="0" applyFont="1" applyFill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2" fillId="0" borderId="5" xfId="1" applyFont="1" applyBorder="1"/>
    <xf numFmtId="0" fontId="8" fillId="0" borderId="4" xfId="0" applyFont="1" applyBorder="1" applyAlignment="1">
      <alignment horizontal="center"/>
    </xf>
    <xf numFmtId="165" fontId="8" fillId="0" borderId="4" xfId="4" applyNumberFormat="1" applyFont="1" applyBorder="1" applyAlignment="1">
      <alignment horizontal="center"/>
    </xf>
    <xf numFmtId="165" fontId="8" fillId="0" borderId="14" xfId="4" applyNumberFormat="1" applyFont="1" applyFill="1" applyBorder="1" applyAlignment="1">
      <alignment horizontal="center"/>
    </xf>
    <xf numFmtId="165" fontId="8" fillId="0" borderId="5" xfId="4" applyNumberFormat="1" applyFont="1" applyFill="1" applyBorder="1" applyAlignment="1">
      <alignment horizontal="center"/>
    </xf>
    <xf numFmtId="9" fontId="11" fillId="0" borderId="10" xfId="4" applyFont="1" applyFill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3" fillId="6" borderId="0" xfId="0" applyFont="1" applyFill="1" applyAlignment="1">
      <alignment horizontal="right"/>
    </xf>
    <xf numFmtId="0" fontId="15" fillId="6" borderId="0" xfId="1" applyFont="1" applyFill="1"/>
    <xf numFmtId="0" fontId="12" fillId="0" borderId="7" xfId="1" applyFont="1" applyBorder="1"/>
    <xf numFmtId="0" fontId="8" fillId="0" borderId="6" xfId="0" applyFont="1" applyBorder="1" applyAlignment="1">
      <alignment horizontal="center"/>
    </xf>
    <xf numFmtId="165" fontId="8" fillId="0" borderId="6" xfId="4" applyNumberFormat="1" applyFont="1" applyBorder="1" applyAlignment="1">
      <alignment horizontal="center"/>
    </xf>
    <xf numFmtId="165" fontId="8" fillId="0" borderId="0" xfId="4" applyNumberFormat="1" applyFont="1" applyFill="1" applyBorder="1" applyAlignment="1">
      <alignment horizontal="center"/>
    </xf>
    <xf numFmtId="165" fontId="8" fillId="0" borderId="7" xfId="4" applyNumberFormat="1" applyFont="1" applyFill="1" applyBorder="1" applyAlignment="1">
      <alignment horizontal="center"/>
    </xf>
    <xf numFmtId="0" fontId="12" fillId="6" borderId="0" xfId="1" applyFont="1" applyFill="1" applyAlignment="1">
      <alignment horizontal="center"/>
    </xf>
    <xf numFmtId="165" fontId="8" fillId="0" borderId="6" xfId="4" applyNumberFormat="1" applyFont="1" applyFill="1" applyBorder="1" applyAlignment="1">
      <alignment horizontal="center"/>
    </xf>
    <xf numFmtId="0" fontId="12" fillId="6" borderId="0" xfId="1" applyFont="1" applyFill="1"/>
    <xf numFmtId="0" fontId="12" fillId="0" borderId="7" xfId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center"/>
    </xf>
    <xf numFmtId="165" fontId="11" fillId="0" borderId="8" xfId="4" applyNumberFormat="1" applyFont="1" applyBorder="1" applyAlignment="1">
      <alignment horizontal="center"/>
    </xf>
    <xf numFmtId="165" fontId="11" fillId="0" borderId="15" xfId="4" applyNumberFormat="1" applyFont="1" applyFill="1" applyBorder="1" applyAlignment="1">
      <alignment horizontal="center"/>
    </xf>
    <xf numFmtId="165" fontId="11" fillId="0" borderId="9" xfId="4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6" fillId="4" borderId="11" xfId="1" applyFont="1" applyFill="1" applyBorder="1" applyAlignment="1">
      <alignment horizontal="left" vertical="center"/>
    </xf>
    <xf numFmtId="0" fontId="16" fillId="4" borderId="10" xfId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 vertical="center" wrapText="1"/>
    </xf>
    <xf numFmtId="0" fontId="17" fillId="0" borderId="2" xfId="1" applyFont="1" applyBorder="1" applyAlignment="1" applyProtection="1">
      <alignment horizontal="center"/>
      <protection locked="0"/>
    </xf>
    <xf numFmtId="0" fontId="17" fillId="4" borderId="6" xfId="1" applyFont="1" applyFill="1" applyBorder="1" applyAlignment="1">
      <alignment horizontal="left"/>
    </xf>
    <xf numFmtId="0" fontId="8" fillId="0" borderId="8" xfId="0" applyFont="1" applyBorder="1"/>
    <xf numFmtId="0" fontId="17" fillId="2" borderId="6" xfId="1" applyFont="1" applyFill="1" applyBorder="1" applyAlignment="1">
      <alignment horizontal="left"/>
    </xf>
    <xf numFmtId="2" fontId="8" fillId="0" borderId="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8" fillId="8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4" fillId="7" borderId="3" xfId="0" applyFont="1" applyFill="1" applyBorder="1" applyAlignment="1" applyProtection="1">
      <alignment horizontal="center"/>
      <protection locked="0"/>
    </xf>
    <xf numFmtId="0" fontId="16" fillId="6" borderId="10" xfId="1" applyFont="1" applyFill="1" applyBorder="1"/>
    <xf numFmtId="0" fontId="17" fillId="6" borderId="10" xfId="1" applyFont="1" applyFill="1" applyBorder="1"/>
    <xf numFmtId="0" fontId="16" fillId="4" borderId="4" xfId="1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center" vertical="center"/>
    </xf>
    <xf numFmtId="0" fontId="16" fillId="4" borderId="5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left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6" fontId="8" fillId="0" borderId="6" xfId="0" applyNumberFormat="1" applyFont="1" applyBorder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1" fontId="8" fillId="0" borderId="6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20" fillId="0" borderId="5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" fontId="20" fillId="0" borderId="7" xfId="0" applyNumberFormat="1" applyFont="1" applyBorder="1" applyAlignment="1">
      <alignment horizontal="center"/>
    </xf>
    <xf numFmtId="0" fontId="17" fillId="4" borderId="8" xfId="1" applyFont="1" applyFill="1" applyBorder="1" applyAlignment="1">
      <alignment wrapText="1"/>
    </xf>
    <xf numFmtId="0" fontId="17" fillId="6" borderId="0" xfId="1" applyFont="1" applyFill="1"/>
    <xf numFmtId="0" fontId="8" fillId="0" borderId="2" xfId="0" applyFont="1" applyBorder="1" applyAlignment="1">
      <alignment horizontal="center" vertical="center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1" fontId="8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7" fillId="6" borderId="0" xfId="1" applyFont="1" applyFill="1" applyAlignment="1">
      <alignment horizontal="left" vertical="top" wrapText="1"/>
    </xf>
    <xf numFmtId="0" fontId="14" fillId="6" borderId="0" xfId="0" applyFont="1" applyFill="1"/>
    <xf numFmtId="0" fontId="17" fillId="6" borderId="0" xfId="1" applyFont="1" applyFill="1" applyAlignment="1">
      <alignment horizontal="left" wrapText="1"/>
    </xf>
    <xf numFmtId="1" fontId="20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14" fillId="0" borderId="10" xfId="0" applyFont="1" applyBorder="1"/>
    <xf numFmtId="2" fontId="8" fillId="0" borderId="10" xfId="0" applyNumberFormat="1" applyFont="1" applyBorder="1"/>
    <xf numFmtId="1" fontId="20" fillId="0" borderId="10" xfId="0" applyNumberFormat="1" applyFont="1" applyBorder="1"/>
    <xf numFmtId="1" fontId="8" fillId="0" borderId="10" xfId="0" applyNumberFormat="1" applyFont="1" applyBorder="1"/>
    <xf numFmtId="0" fontId="16" fillId="5" borderId="8" xfId="1" applyFont="1" applyFill="1" applyBorder="1" applyAlignment="1">
      <alignment horizontal="center"/>
    </xf>
    <xf numFmtId="0" fontId="16" fillId="5" borderId="11" xfId="1" applyFont="1" applyFill="1" applyBorder="1" applyAlignment="1">
      <alignment horizontal="left" vertical="center"/>
    </xf>
    <xf numFmtId="0" fontId="16" fillId="5" borderId="10" xfId="1" applyFont="1" applyFill="1" applyBorder="1" applyAlignment="1">
      <alignment horizontal="center"/>
    </xf>
    <xf numFmtId="1" fontId="17" fillId="5" borderId="2" xfId="1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7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17" fillId="5" borderId="7" xfId="1" applyNumberFormat="1" applyFont="1" applyFill="1" applyBorder="1" applyAlignment="1">
      <alignment horizontal="center"/>
    </xf>
    <xf numFmtId="0" fontId="16" fillId="5" borderId="8" xfId="1" applyFont="1" applyFill="1" applyBorder="1" applyAlignment="1">
      <alignment horizontal="left"/>
    </xf>
    <xf numFmtId="1" fontId="17" fillId="5" borderId="10" xfId="1" applyNumberFormat="1" applyFont="1" applyFill="1" applyBorder="1" applyAlignment="1">
      <alignment horizontal="center"/>
    </xf>
    <xf numFmtId="0" fontId="15" fillId="6" borderId="0" xfId="1" applyFont="1" applyFill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16" fillId="5" borderId="10" xfId="1" applyFont="1" applyFill="1" applyBorder="1" applyAlignment="1">
      <alignment horizontal="center" vertical="center" wrapText="1"/>
    </xf>
    <xf numFmtId="0" fontId="16" fillId="5" borderId="13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wrapText="1"/>
    </xf>
    <xf numFmtId="166" fontId="8" fillId="0" borderId="10" xfId="0" applyNumberFormat="1" applyFont="1" applyBorder="1" applyAlignment="1">
      <alignment horizontal="center"/>
    </xf>
    <xf numFmtId="3" fontId="17" fillId="5" borderId="2" xfId="1" applyNumberFormat="1" applyFont="1" applyFill="1" applyBorder="1" applyAlignment="1">
      <alignment horizontal="center"/>
    </xf>
    <xf numFmtId="2" fontId="12" fillId="6" borderId="0" xfId="1" applyNumberFormat="1" applyFont="1" applyFill="1" applyAlignment="1">
      <alignment horizontal="center"/>
    </xf>
    <xf numFmtId="166" fontId="8" fillId="0" borderId="0" xfId="0" applyNumberFormat="1" applyFont="1"/>
    <xf numFmtId="0" fontId="8" fillId="2" borderId="10" xfId="0" applyFont="1" applyFill="1" applyBorder="1"/>
    <xf numFmtId="168" fontId="8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0" xfId="0" quotePrefix="1" applyNumberFormat="1" applyFont="1" applyBorder="1" applyAlignment="1">
      <alignment horizontal="center"/>
    </xf>
    <xf numFmtId="0" fontId="17" fillId="5" borderId="8" xfId="1" applyFont="1" applyFill="1" applyBorder="1" applyAlignment="1">
      <alignment wrapText="1"/>
    </xf>
    <xf numFmtId="168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12" fillId="6" borderId="0" xfId="1" applyNumberFormat="1" applyFont="1" applyFill="1"/>
    <xf numFmtId="3" fontId="12" fillId="6" borderId="0" xfId="1" applyNumberFormat="1" applyFont="1" applyFill="1" applyAlignment="1">
      <alignment horizontal="center"/>
    </xf>
    <xf numFmtId="0" fontId="25" fillId="6" borderId="0" xfId="1" applyFont="1" applyFill="1" applyAlignment="1">
      <alignment horizontal="left" wrapText="1"/>
    </xf>
    <xf numFmtId="3" fontId="8" fillId="0" borderId="10" xfId="0" quotePrefix="1" applyNumberFormat="1" applyFont="1" applyBorder="1" applyAlignment="1">
      <alignment horizontal="center" vertical="center"/>
    </xf>
    <xf numFmtId="0" fontId="9" fillId="2" borderId="10" xfId="0" applyFont="1" applyFill="1" applyBorder="1"/>
    <xf numFmtId="0" fontId="9" fillId="0" borderId="10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3" fontId="9" fillId="0" borderId="10" xfId="0" quotePrefix="1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166" fontId="9" fillId="0" borderId="10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44" fontId="9" fillId="0" borderId="10" xfId="0" applyNumberFormat="1" applyFont="1" applyBorder="1"/>
    <xf numFmtId="0" fontId="25" fillId="6" borderId="0" xfId="1" applyFont="1" applyFill="1" applyAlignment="1">
      <alignment horizontal="left" vertical="top" wrapText="1"/>
    </xf>
    <xf numFmtId="3" fontId="8" fillId="0" borderId="3" xfId="0" applyNumberFormat="1" applyFont="1" applyBorder="1" applyAlignment="1">
      <alignment horizontal="center"/>
    </xf>
    <xf numFmtId="1" fontId="14" fillId="0" borderId="0" xfId="0" applyNumberFormat="1" applyFont="1" applyProtection="1">
      <protection locked="0"/>
    </xf>
    <xf numFmtId="2" fontId="11" fillId="8" borderId="0" xfId="0" applyNumberFormat="1" applyFont="1" applyFill="1" applyAlignment="1">
      <alignment horizontal="center"/>
    </xf>
    <xf numFmtId="0" fontId="11" fillId="2" borderId="7" xfId="0" applyFont="1" applyFill="1" applyBorder="1"/>
    <xf numFmtId="0" fontId="17" fillId="2" borderId="3" xfId="1" applyFont="1" applyFill="1" applyBorder="1" applyAlignment="1">
      <alignment horizontal="left"/>
    </xf>
    <xf numFmtId="0" fontId="17" fillId="2" borderId="1" xfId="1" applyFont="1" applyFill="1" applyBorder="1" applyAlignment="1">
      <alignment horizontal="left"/>
    </xf>
    <xf numFmtId="0" fontId="17" fillId="2" borderId="2" xfId="1" applyFont="1" applyFill="1" applyBorder="1" applyAlignment="1">
      <alignment horizontal="left"/>
    </xf>
    <xf numFmtId="0" fontId="14" fillId="0" borderId="10" xfId="0" applyFont="1" applyBorder="1" applyAlignment="1">
      <alignment horizontal="left" wrapText="1"/>
    </xf>
    <xf numFmtId="2" fontId="14" fillId="0" borderId="10" xfId="0" applyNumberFormat="1" applyFont="1" applyBorder="1"/>
    <xf numFmtId="166" fontId="14" fillId="0" borderId="10" xfId="0" applyNumberFormat="1" applyFont="1" applyBorder="1" applyAlignment="1">
      <alignment horizontal="center"/>
    </xf>
    <xf numFmtId="0" fontId="8" fillId="9" borderId="0" xfId="0" applyFont="1" applyFill="1"/>
    <xf numFmtId="168" fontId="24" fillId="9" borderId="0" xfId="0" applyNumberFormat="1" applyFont="1" applyFill="1"/>
    <xf numFmtId="0" fontId="23" fillId="9" borderId="10" xfId="0" applyFont="1" applyFill="1" applyBorder="1" applyAlignment="1">
      <alignment horizontal="right" wrapText="1"/>
    </xf>
    <xf numFmtId="3" fontId="17" fillId="5" borderId="7" xfId="1" applyNumberFormat="1" applyFont="1" applyFill="1" applyBorder="1" applyAlignment="1">
      <alignment horizontal="center"/>
    </xf>
    <xf numFmtId="3" fontId="17" fillId="5" borderId="3" xfId="1" applyNumberFormat="1" applyFont="1" applyFill="1" applyBorder="1" applyAlignment="1">
      <alignment horizontal="center"/>
    </xf>
    <xf numFmtId="9" fontId="13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/>
    </xf>
    <xf numFmtId="168" fontId="23" fillId="2" borderId="10" xfId="0" applyNumberFormat="1" applyFont="1" applyFill="1" applyBorder="1" applyAlignment="1">
      <alignment horizontal="center" wrapText="1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/>
    <xf numFmtId="0" fontId="9" fillId="2" borderId="10" xfId="0" applyFont="1" applyFill="1" applyBorder="1" applyAlignment="1">
      <alignment horizontal="left"/>
    </xf>
    <xf numFmtId="0" fontId="14" fillId="4" borderId="3" xfId="0" applyFont="1" applyFill="1" applyBorder="1"/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0" xfId="0" applyFont="1" applyBorder="1"/>
    <xf numFmtId="0" fontId="17" fillId="0" borderId="7" xfId="1" applyFont="1" applyBorder="1" applyAlignment="1" applyProtection="1">
      <alignment horizontal="center"/>
      <protection locked="0"/>
    </xf>
    <xf numFmtId="0" fontId="17" fillId="4" borderId="1" xfId="1" applyFont="1" applyFill="1" applyBorder="1" applyAlignment="1">
      <alignment horizontal="left"/>
    </xf>
    <xf numFmtId="0" fontId="14" fillId="4" borderId="6" xfId="1" applyFont="1" applyFill="1" applyBorder="1" applyAlignment="1">
      <alignment horizontal="left"/>
    </xf>
    <xf numFmtId="0" fontId="17" fillId="4" borderId="2" xfId="1" applyFont="1" applyFill="1" applyBorder="1" applyAlignment="1">
      <alignment horizontal="left"/>
    </xf>
    <xf numFmtId="0" fontId="17" fillId="4" borderId="2" xfId="1" applyFont="1" applyFill="1" applyBorder="1" applyAlignment="1">
      <alignment horizontal="left" vertical="center"/>
    </xf>
    <xf numFmtId="0" fontId="17" fillId="10" borderId="3" xfId="0" applyFont="1" applyFill="1" applyBorder="1" applyAlignment="1" applyProtection="1">
      <alignment horizontal="center"/>
      <protection locked="0"/>
    </xf>
    <xf numFmtId="0" fontId="14" fillId="7" borderId="7" xfId="0" applyFont="1" applyFill="1" applyBorder="1" applyAlignment="1" applyProtection="1">
      <alignment horizontal="center"/>
      <protection locked="0"/>
    </xf>
    <xf numFmtId="0" fontId="14" fillId="7" borderId="2" xfId="0" applyFont="1" applyFill="1" applyBorder="1" applyAlignment="1" applyProtection="1">
      <alignment horizontal="center"/>
      <protection locked="0"/>
    </xf>
    <xf numFmtId="9" fontId="17" fillId="0" borderId="1" xfId="4" applyFont="1" applyBorder="1" applyAlignment="1" applyProtection="1">
      <alignment horizontal="center"/>
    </xf>
    <xf numFmtId="9" fontId="17" fillId="0" borderId="1" xfId="4" applyFont="1" applyFill="1" applyBorder="1" applyAlignment="1" applyProtection="1">
      <alignment horizontal="center"/>
    </xf>
    <xf numFmtId="9" fontId="19" fillId="0" borderId="1" xfId="4" applyFont="1" applyFill="1" applyBorder="1" applyAlignment="1" applyProtection="1">
      <alignment horizontal="center"/>
    </xf>
    <xf numFmtId="9" fontId="17" fillId="0" borderId="2" xfId="4" applyFont="1" applyBorder="1" applyAlignment="1" applyProtection="1">
      <alignment horizontal="center"/>
    </xf>
    <xf numFmtId="9" fontId="17" fillId="0" borderId="2" xfId="4" applyFont="1" applyFill="1" applyBorder="1" applyAlignment="1" applyProtection="1">
      <alignment horizontal="center"/>
    </xf>
    <xf numFmtId="9" fontId="19" fillId="0" borderId="6" xfId="4" applyFont="1" applyFill="1" applyBorder="1" applyAlignment="1" applyProtection="1">
      <alignment horizontal="center"/>
    </xf>
    <xf numFmtId="3" fontId="17" fillId="0" borderId="1" xfId="1" applyNumberFormat="1" applyFont="1" applyBorder="1" applyAlignment="1" applyProtection="1">
      <alignment horizontal="center"/>
      <protection locked="0"/>
    </xf>
    <xf numFmtId="3" fontId="17" fillId="0" borderId="2" xfId="1" applyNumberFormat="1" applyFont="1" applyBorder="1" applyAlignment="1" applyProtection="1">
      <alignment horizontal="center"/>
      <protection locked="0"/>
    </xf>
    <xf numFmtId="0" fontId="17" fillId="0" borderId="9" xfId="0" applyFont="1" applyBorder="1" applyAlignment="1" applyProtection="1">
      <alignment horizontal="center"/>
      <protection locked="0"/>
    </xf>
    <xf numFmtId="168" fontId="0" fillId="0" borderId="0" xfId="0" applyNumberFormat="1"/>
    <xf numFmtId="0" fontId="23" fillId="2" borderId="10" xfId="0" applyFont="1" applyFill="1" applyBorder="1" applyAlignment="1">
      <alignment horizontal="right" wrapText="1"/>
    </xf>
    <xf numFmtId="168" fontId="2" fillId="2" borderId="0" xfId="0" applyNumberFormat="1" applyFont="1" applyFill="1"/>
    <xf numFmtId="0" fontId="2" fillId="2" borderId="10" xfId="0" applyFont="1" applyFill="1" applyBorder="1" applyAlignment="1">
      <alignment horizontal="right" wrapText="1"/>
    </xf>
    <xf numFmtId="0" fontId="14" fillId="0" borderId="8" xfId="1" applyFont="1" applyBorder="1" applyAlignment="1" applyProtection="1">
      <alignment horizontal="left"/>
      <protection locked="0"/>
    </xf>
    <xf numFmtId="165" fontId="14" fillId="0" borderId="3" xfId="4" applyNumberFormat="1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25" fillId="6" borderId="0" xfId="1" applyFont="1" applyFill="1" applyAlignment="1">
      <alignment horizontal="left" vertical="top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3" fontId="17" fillId="5" borderId="11" xfId="1" applyNumberFormat="1" applyFont="1" applyFill="1" applyBorder="1" applyAlignment="1">
      <alignment horizontal="center"/>
    </xf>
    <xf numFmtId="3" fontId="17" fillId="5" borderId="13" xfId="1" applyNumberFormat="1" applyFont="1" applyFill="1" applyBorder="1" applyAlignment="1">
      <alignment horizontal="center"/>
    </xf>
    <xf numFmtId="0" fontId="22" fillId="3" borderId="11" xfId="1" applyFont="1" applyFill="1" applyBorder="1" applyAlignment="1">
      <alignment horizontal="center"/>
    </xf>
    <xf numFmtId="0" fontId="22" fillId="3" borderId="15" xfId="1" applyFont="1" applyFill="1" applyBorder="1" applyAlignment="1">
      <alignment horizontal="center"/>
    </xf>
    <xf numFmtId="0" fontId="22" fillId="3" borderId="9" xfId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6" fillId="3" borderId="15" xfId="1" applyFont="1" applyFill="1" applyBorder="1" applyAlignment="1">
      <alignment horizontal="center"/>
    </xf>
    <xf numFmtId="0" fontId="16" fillId="3" borderId="9" xfId="1" applyFont="1" applyFill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13" fillId="6" borderId="10" xfId="0" applyNumberFormat="1" applyFont="1" applyFill="1" applyBorder="1" applyAlignment="1">
      <alignment horizontal="center"/>
    </xf>
    <xf numFmtId="0" fontId="16" fillId="2" borderId="11" xfId="1" applyFont="1" applyFill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16" fillId="2" borderId="13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16" fillId="2" borderId="14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17" fillId="6" borderId="0" xfId="1" applyFont="1" applyFill="1" applyAlignment="1">
      <alignment horizontal="left" vertical="top" wrapText="1"/>
    </xf>
    <xf numFmtId="0" fontId="22" fillId="3" borderId="12" xfId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16" fillId="5" borderId="11" xfId="1" applyFont="1" applyFill="1" applyBorder="1" applyAlignment="1">
      <alignment horizontal="center"/>
    </xf>
    <xf numFmtId="0" fontId="16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244230</xdr:colOff>
      <xdr:row>0</xdr:row>
      <xdr:rowOff>0</xdr:rowOff>
    </xdr:from>
    <xdr:to>
      <xdr:col>7</xdr:col>
      <xdr:colOff>299711</xdr:colOff>
      <xdr:row>7</xdr:row>
      <xdr:rowOff>95242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61" y="0"/>
          <a:ext cx="2729808" cy="1377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88900</xdr:rowOff>
        </xdr:from>
        <xdr:to>
          <xdr:col>1</xdr:col>
          <xdr:colOff>1657350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95250</xdr:rowOff>
        </xdr:from>
        <xdr:to>
          <xdr:col>1</xdr:col>
          <xdr:colOff>1657350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2393460</xdr:colOff>
      <xdr:row>0</xdr:row>
      <xdr:rowOff>0</xdr:rowOff>
    </xdr:from>
    <xdr:to>
      <xdr:col>3</xdr:col>
      <xdr:colOff>691053</xdr:colOff>
      <xdr:row>7</xdr:row>
      <xdr:rowOff>183172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1345" y="0"/>
          <a:ext cx="1790093" cy="1465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zoomScale="78" zoomScaleNormal="78" workbookViewId="0">
      <selection activeCell="C10" sqref="C10:D10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hidden="1" customWidth="1"/>
    <col min="13" max="13" width="12" style="4" hidden="1" customWidth="1"/>
    <col min="14" max="14" width="23" style="4" hidden="1" customWidth="1"/>
    <col min="15" max="16" width="18.81640625" style="4" hidden="1" customWidth="1"/>
    <col min="17" max="17" width="20.1796875" style="4" hidden="1" customWidth="1"/>
    <col min="18" max="18" width="18.1796875" style="4" hidden="1" customWidth="1"/>
    <col min="19" max="19" width="21.72656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1796875" style="4" hidden="1" customWidth="1"/>
    <col min="24" max="24" width="12.81640625" style="4" hidden="1" customWidth="1"/>
    <col min="25" max="25" width="14.81640625" style="4" hidden="1" customWidth="1"/>
    <col min="26" max="26" width="14.7265625" style="4" hidden="1" customWidth="1"/>
    <col min="27" max="27" width="14.453125" style="4" hidden="1" customWidth="1"/>
    <col min="28" max="29" width="12.26953125" style="4" hidden="1" customWidth="1"/>
    <col min="30" max="30" width="11.81640625" style="4" hidden="1" customWidth="1"/>
    <col min="31" max="31" width="11.54296875" style="5" hidden="1" customWidth="1"/>
    <col min="32" max="32" width="11.54296875" style="4" hidden="1" customWidth="1"/>
    <col min="33" max="33" width="11.81640625" style="4" hidden="1" customWidth="1"/>
    <col min="34" max="35" width="11.54296875" style="4" hidden="1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4">
      <c r="A8" s="3"/>
      <c r="B8" s="3"/>
      <c r="C8" s="3"/>
      <c r="D8" s="7" t="s">
        <v>120</v>
      </c>
      <c r="E8" s="7"/>
      <c r="F8" s="7"/>
      <c r="G8" s="7"/>
      <c r="H8" s="3"/>
      <c r="I8" s="3"/>
      <c r="J8" s="3"/>
      <c r="K8" s="3"/>
      <c r="N8" s="8" t="s">
        <v>73</v>
      </c>
      <c r="O8" s="9"/>
      <c r="P8" s="10" t="s">
        <v>76</v>
      </c>
      <c r="Q8" s="163" t="s">
        <v>77</v>
      </c>
      <c r="R8" s="163" t="s">
        <v>78</v>
      </c>
      <c r="S8" s="162" t="s">
        <v>6</v>
      </c>
      <c r="T8" s="11" t="s">
        <v>79</v>
      </c>
      <c r="U8" s="12" t="s">
        <v>43</v>
      </c>
      <c r="AJ8" s="3"/>
      <c r="AK8" s="3"/>
    </row>
    <row r="9" spans="1:37" ht="20" x14ac:dyDescent="0.4">
      <c r="A9" s="3"/>
      <c r="B9" s="3"/>
      <c r="C9" s="3"/>
      <c r="D9" s="7"/>
      <c r="E9" s="7"/>
      <c r="F9" s="7"/>
      <c r="G9" s="7"/>
      <c r="H9" s="3"/>
      <c r="I9" s="3"/>
      <c r="J9" s="3"/>
      <c r="K9" s="3"/>
      <c r="N9" s="174" t="s">
        <v>0</v>
      </c>
      <c r="O9" s="13"/>
      <c r="P9" s="14" t="s">
        <v>0</v>
      </c>
      <c r="Q9" s="15">
        <f>IF(OR(C28=0,C28="%"),0,C28)</f>
        <v>0.46</v>
      </c>
      <c r="R9" s="16">
        <f>IF(OR(D28=0,D28="%"),0,D28*0.437)</f>
        <v>0</v>
      </c>
      <c r="S9" s="17">
        <f>IF(OR(E28=0,E28="%"),0,E28*0.83)</f>
        <v>0</v>
      </c>
      <c r="T9" s="18">
        <f>IF(OR(F28=0,F28="%"),0,F28)</f>
        <v>0</v>
      </c>
      <c r="U9" s="19">
        <f>IF(G28&lt;=0,0,(G28/50))</f>
        <v>1100</v>
      </c>
      <c r="AJ9" s="3"/>
      <c r="AK9" s="3"/>
    </row>
    <row r="10" spans="1:37" ht="18" x14ac:dyDescent="0.4">
      <c r="A10" s="3"/>
      <c r="B10" s="20" t="s">
        <v>25</v>
      </c>
      <c r="C10" s="221" t="s">
        <v>31</v>
      </c>
      <c r="D10" s="221"/>
      <c r="E10" s="21"/>
      <c r="F10" s="21"/>
      <c r="G10" s="3"/>
      <c r="H10" s="3"/>
      <c r="I10" s="3"/>
      <c r="J10" s="3"/>
      <c r="K10" s="3"/>
      <c r="N10" s="175" t="s">
        <v>4</v>
      </c>
      <c r="O10" s="22"/>
      <c r="P10" s="23" t="s">
        <v>1</v>
      </c>
      <c r="Q10" s="24">
        <f>IF(OR(C29=0,C29="%"),0,C29)</f>
        <v>0</v>
      </c>
      <c r="R10" s="25">
        <f>IF(OR(D29=0,D29="%"),0,D29*0.437)</f>
        <v>0.20102</v>
      </c>
      <c r="S10" s="26">
        <f>IF(OR(E29=0,E29="%"),0,E29*0.83)</f>
        <v>0.49799999999999994</v>
      </c>
      <c r="T10" s="18">
        <f>IF(OR(F29=0,F29="%"),0,F29)</f>
        <v>0</v>
      </c>
      <c r="U10" s="19">
        <f>IF(G29&lt;=0,0,(G29/50))</f>
        <v>1200</v>
      </c>
      <c r="AJ10" s="3"/>
      <c r="AK10" s="3"/>
    </row>
    <row r="11" spans="1:37" ht="18" x14ac:dyDescent="0.4">
      <c r="A11" s="3"/>
      <c r="B11" s="20" t="s">
        <v>44</v>
      </c>
      <c r="C11" s="221" t="s">
        <v>31</v>
      </c>
      <c r="D11" s="221"/>
      <c r="E11" s="27"/>
      <c r="F11" s="27"/>
      <c r="G11" s="3"/>
      <c r="H11" s="3"/>
      <c r="I11" s="3"/>
      <c r="J11" s="3"/>
      <c r="K11" s="3"/>
      <c r="N11" s="175" t="s">
        <v>5</v>
      </c>
      <c r="O11" s="22"/>
      <c r="P11" s="23" t="s">
        <v>2</v>
      </c>
      <c r="Q11" s="28">
        <f>IF(OR(C30=0,C30="%"),0,C30)</f>
        <v>0.18</v>
      </c>
      <c r="R11" s="25">
        <f>IF(OR(D30=0,D30="%"),0,D30*0.437)</f>
        <v>0.20102</v>
      </c>
      <c r="S11" s="26">
        <f>IF(OR(E30=0,E30="%"),0,E30*0.83)</f>
        <v>0</v>
      </c>
      <c r="T11" s="18">
        <f>IF(OR(F30=0,F30="%"),0,F30)</f>
        <v>0</v>
      </c>
      <c r="U11" s="19">
        <f>IF(G30&lt;=0,0,(G30/50))</f>
        <v>1600</v>
      </c>
      <c r="AJ11" s="3"/>
      <c r="AK11" s="3"/>
    </row>
    <row r="12" spans="1:37" ht="18" x14ac:dyDescent="0.4">
      <c r="A12" s="3"/>
      <c r="B12" s="20" t="s">
        <v>45</v>
      </c>
      <c r="C12" s="222">
        <f ca="1">TODAY()</f>
        <v>46045</v>
      </c>
      <c r="D12" s="222"/>
      <c r="E12" s="29"/>
      <c r="F12" s="29"/>
      <c r="G12" s="3"/>
      <c r="H12" s="3"/>
      <c r="I12" s="3"/>
      <c r="J12" s="3"/>
      <c r="K12" s="3"/>
      <c r="N12" s="176" t="s">
        <v>74</v>
      </c>
      <c r="O12" s="30"/>
      <c r="P12" s="31" t="s">
        <v>7</v>
      </c>
      <c r="Q12" s="24">
        <f>IF(OR(C31=0,C31="%"),0,C31)</f>
        <v>0</v>
      </c>
      <c r="R12" s="25">
        <f>IF(OR(D31=0,D31="%"),0,D31*0.437)</f>
        <v>0</v>
      </c>
      <c r="S12" s="26">
        <f>IF(OR(E31=0,E31="%"),0,E31*0.83)</f>
        <v>0.49799999999999994</v>
      </c>
      <c r="T12" s="18">
        <f>IF(OR(F31=0,F31="%"),0,F31)</f>
        <v>0</v>
      </c>
      <c r="U12" s="19">
        <f>IF(G31&lt;=0,0,(G31/50))</f>
        <v>1200</v>
      </c>
      <c r="AJ12" s="3"/>
      <c r="AK12" s="3"/>
    </row>
    <row r="13" spans="1:37" x14ac:dyDescent="0.3">
      <c r="A13" s="3"/>
      <c r="B13" s="3"/>
      <c r="C13" s="3"/>
      <c r="D13" s="3"/>
      <c r="E13" s="29"/>
      <c r="F13" s="29"/>
      <c r="G13" s="3"/>
      <c r="H13" s="3"/>
      <c r="I13" s="3"/>
      <c r="J13" s="3"/>
      <c r="K13" s="3"/>
      <c r="N13" s="32" t="s">
        <v>75</v>
      </c>
      <c r="O13" s="33"/>
      <c r="P13" s="34" t="str">
        <f>LEFT(N13,4)</f>
        <v>Sulp</v>
      </c>
      <c r="Q13" s="35">
        <f>IF(OR(C32=0,C32="%"),0,C32)</f>
        <v>0</v>
      </c>
      <c r="R13" s="36">
        <f>IF(OR(D32=0,D32="%"),0,D32*0.437)</f>
        <v>0</v>
      </c>
      <c r="S13" s="37">
        <f>IF(OR(E32=0,E32="%"),0,E32*0.83)</f>
        <v>0</v>
      </c>
      <c r="T13" s="18">
        <f>IF(OR(F32=0,F32="%"),0,F32)</f>
        <v>0.123</v>
      </c>
      <c r="U13" s="19">
        <f>IF(G32&lt;=0,0,(G32/50))</f>
        <v>400</v>
      </c>
      <c r="AJ13" s="3"/>
      <c r="AK13" s="3"/>
    </row>
    <row r="14" spans="1:37" ht="18" x14ac:dyDescent="0.4">
      <c r="A14" s="3"/>
      <c r="B14" s="227" t="s">
        <v>46</v>
      </c>
      <c r="C14" s="228"/>
      <c r="D14" s="229"/>
      <c r="E14" s="29"/>
      <c r="F14" s="29"/>
      <c r="G14" s="3"/>
      <c r="H14" s="3"/>
      <c r="I14" s="3"/>
      <c r="J14" s="3"/>
      <c r="K14" s="3"/>
      <c r="P14" s="38"/>
      <c r="Q14" s="39"/>
      <c r="R14" s="39"/>
      <c r="S14" s="39"/>
      <c r="T14" s="40"/>
      <c r="AJ14" s="3"/>
      <c r="AK14" s="3"/>
    </row>
    <row r="15" spans="1:37" ht="54" x14ac:dyDescent="0.3">
      <c r="A15" s="3"/>
      <c r="B15" s="41" t="s">
        <v>47</v>
      </c>
      <c r="C15" s="42" t="s">
        <v>119</v>
      </c>
      <c r="D15" s="43" t="s">
        <v>48</v>
      </c>
      <c r="E15" s="29"/>
      <c r="F15" s="29"/>
      <c r="G15" s="3"/>
      <c r="H15" s="3"/>
      <c r="I15" s="3"/>
      <c r="J15" s="3"/>
      <c r="K15" s="3"/>
      <c r="AJ15" s="3"/>
      <c r="AK15" s="3"/>
    </row>
    <row r="16" spans="1:37" ht="17.5" x14ac:dyDescent="0.35">
      <c r="A16" s="3"/>
      <c r="B16" s="182" t="s">
        <v>121</v>
      </c>
      <c r="C16" s="44">
        <v>1</v>
      </c>
      <c r="D16" s="44">
        <v>700</v>
      </c>
      <c r="E16" s="29"/>
      <c r="F16" s="29"/>
      <c r="G16" s="3"/>
      <c r="H16" s="3"/>
      <c r="I16" s="3"/>
      <c r="J16" s="3"/>
      <c r="K16" s="3"/>
      <c r="N16" s="207" t="s">
        <v>80</v>
      </c>
      <c r="O16" s="208"/>
      <c r="P16" s="208"/>
      <c r="Q16" s="208"/>
      <c r="R16" s="208"/>
      <c r="S16" s="208"/>
      <c r="T16" s="208"/>
      <c r="U16" s="208"/>
      <c r="V16" s="208"/>
      <c r="W16" s="208"/>
      <c r="X16" s="209"/>
      <c r="Y16" s="207" t="s">
        <v>81</v>
      </c>
      <c r="Z16" s="208"/>
      <c r="AA16" s="208"/>
      <c r="AB16" s="209"/>
      <c r="AJ16" s="3"/>
      <c r="AK16" s="3"/>
    </row>
    <row r="17" spans="1:37" ht="17.5" x14ac:dyDescent="0.35">
      <c r="A17" s="3"/>
      <c r="B17" s="184" t="s">
        <v>127</v>
      </c>
      <c r="C17" s="181">
        <v>1</v>
      </c>
      <c r="D17" s="44">
        <v>800</v>
      </c>
      <c r="E17" s="29"/>
      <c r="F17" s="29"/>
      <c r="G17" s="3"/>
      <c r="H17" s="3"/>
      <c r="I17" s="3"/>
      <c r="J17" s="3"/>
      <c r="K17" s="3"/>
      <c r="N17" s="46" t="s">
        <v>47</v>
      </c>
      <c r="O17" s="23" t="s">
        <v>82</v>
      </c>
      <c r="P17" s="38" t="s">
        <v>8</v>
      </c>
      <c r="Q17" s="38" t="s">
        <v>9</v>
      </c>
      <c r="R17" s="38" t="s">
        <v>10</v>
      </c>
      <c r="S17" s="177" t="str">
        <f>P13&amp;" Min"</f>
        <v>Sulp Min</v>
      </c>
      <c r="T17" s="14" t="s">
        <v>83</v>
      </c>
      <c r="U17" s="163" t="s">
        <v>11</v>
      </c>
      <c r="V17" s="163" t="s">
        <v>12</v>
      </c>
      <c r="W17" s="163" t="s">
        <v>13</v>
      </c>
      <c r="X17" s="178" t="s">
        <v>84</v>
      </c>
      <c r="Y17" s="179" t="s">
        <v>85</v>
      </c>
      <c r="Z17" s="11" t="s">
        <v>86</v>
      </c>
      <c r="AA17" s="11" t="s">
        <v>87</v>
      </c>
      <c r="AB17" s="180" t="s">
        <v>88</v>
      </c>
      <c r="AJ17" s="3"/>
      <c r="AK17" s="3"/>
    </row>
    <row r="18" spans="1:37" ht="17.5" x14ac:dyDescent="0.35">
      <c r="A18" s="3"/>
      <c r="B18" s="185" t="s">
        <v>122</v>
      </c>
      <c r="C18" s="181">
        <v>1</v>
      </c>
      <c r="D18" s="44">
        <v>550</v>
      </c>
      <c r="E18" s="3"/>
      <c r="F18" s="3"/>
      <c r="G18" s="3"/>
      <c r="H18" s="3"/>
      <c r="I18" s="3"/>
      <c r="J18" s="3"/>
      <c r="K18" s="3"/>
      <c r="N18" s="151" t="str">
        <f>B16</f>
        <v>Soybean</v>
      </c>
      <c r="O18" s="50">
        <v>0</v>
      </c>
      <c r="P18" s="50">
        <v>0</v>
      </c>
      <c r="Q18" s="50">
        <v>0</v>
      </c>
      <c r="R18" s="50">
        <v>0</v>
      </c>
      <c r="S18" s="51">
        <v>0</v>
      </c>
      <c r="T18" s="52">
        <f>IF($G$28&lt;=0,0,326)</f>
        <v>326</v>
      </c>
      <c r="U18" s="52">
        <f>IF($G$29&lt;=0,0,150)</f>
        <v>150</v>
      </c>
      <c r="V18" s="52">
        <f t="shared" ref="V18:V26" si="0">IF($G$30&lt;=0,0,150)</f>
        <v>150</v>
      </c>
      <c r="W18" s="52">
        <f t="shared" ref="W18:W26" si="1">IF($G$31&lt;=0,0,100)</f>
        <v>100</v>
      </c>
      <c r="X18" s="52">
        <f t="shared" ref="X18:X26" si="2">IF($G$32&lt;=0,0,200)</f>
        <v>200</v>
      </c>
      <c r="Y18" s="53">
        <v>150</v>
      </c>
      <c r="Z18" s="53">
        <v>50</v>
      </c>
      <c r="AA18" s="53">
        <v>50</v>
      </c>
      <c r="AB18" s="149">
        <v>5</v>
      </c>
      <c r="AJ18" s="3"/>
      <c r="AK18" s="3"/>
    </row>
    <row r="19" spans="1:37" ht="17.5" x14ac:dyDescent="0.35">
      <c r="A19" s="3"/>
      <c r="B19" s="185" t="s">
        <v>123</v>
      </c>
      <c r="C19" s="181">
        <v>1</v>
      </c>
      <c r="D19" s="44">
        <v>550</v>
      </c>
      <c r="E19" s="29"/>
      <c r="F19" s="29"/>
      <c r="G19" s="3"/>
      <c r="H19" s="3"/>
      <c r="I19" s="3"/>
      <c r="J19" s="3"/>
      <c r="K19" s="3"/>
      <c r="N19" s="152" t="str">
        <f t="shared" ref="N19:N20" si="3">B17</f>
        <v>Groundnut (unshelled)</v>
      </c>
      <c r="O19" s="50">
        <v>0</v>
      </c>
      <c r="P19" s="50">
        <v>0</v>
      </c>
      <c r="Q19" s="50">
        <v>0</v>
      </c>
      <c r="R19" s="50">
        <v>0</v>
      </c>
      <c r="S19" s="51">
        <v>0</v>
      </c>
      <c r="T19" s="52">
        <f>IF($G$28&lt;=0,0,326)</f>
        <v>326</v>
      </c>
      <c r="U19" s="52">
        <f>IF($G$29&lt;=0,0,150)</f>
        <v>150</v>
      </c>
      <c r="V19" s="52">
        <f t="shared" si="0"/>
        <v>150</v>
      </c>
      <c r="W19" s="52">
        <f t="shared" si="1"/>
        <v>100</v>
      </c>
      <c r="X19" s="52">
        <f t="shared" si="2"/>
        <v>200</v>
      </c>
      <c r="Y19" s="53">
        <v>150</v>
      </c>
      <c r="Z19" s="53">
        <v>50</v>
      </c>
      <c r="AA19" s="53">
        <v>50</v>
      </c>
      <c r="AB19" s="149">
        <v>5</v>
      </c>
      <c r="AJ19" s="3"/>
      <c r="AK19" s="3"/>
    </row>
    <row r="20" spans="1:37" ht="17.5" x14ac:dyDescent="0.35">
      <c r="A20" s="3"/>
      <c r="B20" s="184" t="s">
        <v>124</v>
      </c>
      <c r="C20" s="181">
        <v>1</v>
      </c>
      <c r="D20" s="44">
        <v>700</v>
      </c>
      <c r="E20" s="29"/>
      <c r="F20" s="29"/>
      <c r="G20" s="3"/>
      <c r="H20" s="3"/>
      <c r="I20" s="3"/>
      <c r="J20" s="3"/>
      <c r="K20" s="3"/>
      <c r="N20" s="152" t="str">
        <f t="shared" si="3"/>
        <v>Maize LP &lt;3t</v>
      </c>
      <c r="O20" s="50">
        <v>0</v>
      </c>
      <c r="P20" s="50">
        <v>0</v>
      </c>
      <c r="Q20" s="50">
        <v>0</v>
      </c>
      <c r="R20" s="50">
        <v>0</v>
      </c>
      <c r="S20" s="51">
        <v>0</v>
      </c>
      <c r="T20" s="52">
        <f>IF($G$28&lt;=0,0,326)</f>
        <v>326</v>
      </c>
      <c r="U20" s="52">
        <f>IF($G$29&lt;=0,0,150)</f>
        <v>150</v>
      </c>
      <c r="V20" s="52">
        <f t="shared" si="0"/>
        <v>150</v>
      </c>
      <c r="W20" s="52">
        <f t="shared" si="1"/>
        <v>100</v>
      </c>
      <c r="X20" s="52">
        <f t="shared" si="2"/>
        <v>200</v>
      </c>
      <c r="Y20" s="53">
        <v>120</v>
      </c>
      <c r="Z20" s="53">
        <v>50</v>
      </c>
      <c r="AA20" s="53">
        <v>50</v>
      </c>
      <c r="AB20" s="149">
        <v>5</v>
      </c>
      <c r="AJ20" s="3"/>
      <c r="AK20" s="3"/>
    </row>
    <row r="21" spans="1:37" ht="17.5" x14ac:dyDescent="0.35">
      <c r="A21" s="3"/>
      <c r="B21" s="184" t="s">
        <v>125</v>
      </c>
      <c r="C21" s="181">
        <v>1</v>
      </c>
      <c r="D21" s="44">
        <v>700</v>
      </c>
      <c r="E21" s="29"/>
      <c r="F21" s="29"/>
      <c r="G21" s="3"/>
      <c r="H21" s="3"/>
      <c r="I21" s="3"/>
      <c r="J21" s="3"/>
      <c r="K21" s="3"/>
      <c r="N21" s="152" t="str">
        <f t="shared" ref="N21:N26" si="4">B19</f>
        <v>Maize HP &gt;3t</v>
      </c>
      <c r="O21" s="50">
        <v>0</v>
      </c>
      <c r="P21" s="50">
        <v>0</v>
      </c>
      <c r="Q21" s="50">
        <v>0</v>
      </c>
      <c r="R21" s="50">
        <v>0</v>
      </c>
      <c r="S21" s="51">
        <v>0</v>
      </c>
      <c r="T21" s="52">
        <f>IF($G$28&lt;=0,0,326)</f>
        <v>326</v>
      </c>
      <c r="U21" s="52">
        <f>IF($G$29&lt;=0,0,120)</f>
        <v>120</v>
      </c>
      <c r="V21" s="52">
        <f t="shared" si="0"/>
        <v>150</v>
      </c>
      <c r="W21" s="52">
        <f t="shared" si="1"/>
        <v>100</v>
      </c>
      <c r="X21" s="52">
        <f t="shared" si="2"/>
        <v>200</v>
      </c>
      <c r="Y21" s="53">
        <v>120</v>
      </c>
      <c r="Z21" s="53">
        <v>50</v>
      </c>
      <c r="AA21" s="53">
        <v>50</v>
      </c>
      <c r="AB21" s="149">
        <v>5</v>
      </c>
      <c r="AJ21" s="3"/>
      <c r="AK21" s="3"/>
    </row>
    <row r="22" spans="1:37" ht="17.5" x14ac:dyDescent="0.35">
      <c r="A22" s="3"/>
      <c r="B22" s="183" t="s">
        <v>126</v>
      </c>
      <c r="C22" s="188">
        <v>1</v>
      </c>
      <c r="D22" s="187">
        <v>550</v>
      </c>
      <c r="E22" s="3"/>
      <c r="F22" s="3"/>
      <c r="G22" s="3"/>
      <c r="H22" s="3"/>
      <c r="I22" s="3"/>
      <c r="J22" s="3"/>
      <c r="K22" s="3"/>
      <c r="N22" s="152" t="str">
        <f t="shared" si="4"/>
        <v>Rice Lowland</v>
      </c>
      <c r="O22" s="50">
        <v>0</v>
      </c>
      <c r="P22" s="50">
        <v>0</v>
      </c>
      <c r="Q22" s="50">
        <v>0</v>
      </c>
      <c r="R22" s="50">
        <v>0</v>
      </c>
      <c r="S22" s="51">
        <v>0</v>
      </c>
      <c r="T22" s="52">
        <f>IF($G$28&lt;=0,0,100)</f>
        <v>100</v>
      </c>
      <c r="U22" s="52">
        <f>IF($G$29&lt;=0,0,150)</f>
        <v>150</v>
      </c>
      <c r="V22" s="52">
        <f t="shared" si="0"/>
        <v>150</v>
      </c>
      <c r="W22" s="52">
        <f t="shared" si="1"/>
        <v>100</v>
      </c>
      <c r="X22" s="52">
        <f t="shared" si="2"/>
        <v>200</v>
      </c>
      <c r="Y22" s="53">
        <v>120</v>
      </c>
      <c r="Z22" s="53">
        <v>50</v>
      </c>
      <c r="AA22" s="53">
        <v>50</v>
      </c>
      <c r="AB22" s="149">
        <v>5</v>
      </c>
      <c r="AJ22" s="3"/>
      <c r="AK22" s="3"/>
    </row>
    <row r="23" spans="1:37" ht="17.5" x14ac:dyDescent="0.35">
      <c r="A23" s="3"/>
      <c r="B23" s="183" t="s">
        <v>128</v>
      </c>
      <c r="C23" s="188">
        <v>1</v>
      </c>
      <c r="D23" s="197">
        <v>650</v>
      </c>
      <c r="E23" s="3"/>
      <c r="F23" s="3"/>
      <c r="G23" s="3"/>
      <c r="H23" s="3"/>
      <c r="I23" s="3"/>
      <c r="J23" s="3"/>
      <c r="K23" s="3"/>
      <c r="N23" s="152" t="str">
        <f t="shared" si="4"/>
        <v>Rice Upland</v>
      </c>
      <c r="O23" s="50">
        <v>0</v>
      </c>
      <c r="P23" s="50">
        <v>0</v>
      </c>
      <c r="Q23" s="50">
        <v>0</v>
      </c>
      <c r="R23" s="50">
        <v>0</v>
      </c>
      <c r="S23" s="51">
        <v>0</v>
      </c>
      <c r="T23" s="52">
        <f>IF($G$28&lt;=0,0,326)</f>
        <v>326</v>
      </c>
      <c r="U23" s="52">
        <f>IF($G$29&lt;=0,0,150)</f>
        <v>150</v>
      </c>
      <c r="V23" s="52">
        <f t="shared" si="0"/>
        <v>150</v>
      </c>
      <c r="W23" s="52">
        <f t="shared" si="1"/>
        <v>100</v>
      </c>
      <c r="X23" s="52">
        <f t="shared" si="2"/>
        <v>200</v>
      </c>
      <c r="Y23" s="53">
        <v>100</v>
      </c>
      <c r="Z23" s="53">
        <v>50</v>
      </c>
      <c r="AA23" s="53">
        <v>50</v>
      </c>
      <c r="AB23" s="149">
        <v>5</v>
      </c>
      <c r="AJ23" s="3"/>
      <c r="AK23" s="3"/>
    </row>
    <row r="24" spans="1:37" ht="17.5" x14ac:dyDescent="0.35">
      <c r="A24" s="3"/>
      <c r="B24" s="173" t="s">
        <v>129</v>
      </c>
      <c r="C24" s="54">
        <v>1</v>
      </c>
      <c r="D24" s="186">
        <v>500</v>
      </c>
      <c r="E24" s="3"/>
      <c r="F24" s="3"/>
      <c r="G24" s="3"/>
      <c r="H24" s="3"/>
      <c r="I24" s="3"/>
      <c r="J24" s="3"/>
      <c r="K24" s="3"/>
      <c r="N24" s="152" t="str">
        <f t="shared" si="4"/>
        <v>Sorghum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2">
        <f>IF($G$28&lt;=0,0,100)</f>
        <v>100</v>
      </c>
      <c r="U24" s="148">
        <f>IF($G$29&lt;=0,0,150)</f>
        <v>150</v>
      </c>
      <c r="V24" s="148">
        <f t="shared" si="0"/>
        <v>150</v>
      </c>
      <c r="W24" s="148">
        <f t="shared" si="1"/>
        <v>100</v>
      </c>
      <c r="X24" s="52">
        <f t="shared" si="2"/>
        <v>200</v>
      </c>
      <c r="Y24" s="53">
        <v>100</v>
      </c>
      <c r="Z24" s="53">
        <v>50</v>
      </c>
      <c r="AA24" s="53">
        <v>50</v>
      </c>
      <c r="AB24" s="149">
        <v>5</v>
      </c>
      <c r="AJ24" s="3"/>
      <c r="AK24" s="3"/>
    </row>
    <row r="25" spans="1:37" ht="41.25" customHeight="1" x14ac:dyDescent="0.4">
      <c r="A25" s="3"/>
      <c r="B25" s="55" t="s">
        <v>42</v>
      </c>
      <c r="C25" s="55">
        <f>SUM(C16:C24)</f>
        <v>9</v>
      </c>
      <c r="D25" s="56"/>
      <c r="E25" s="29"/>
      <c r="F25" s="29"/>
      <c r="G25" s="3"/>
      <c r="H25" s="3"/>
      <c r="I25" s="3"/>
      <c r="J25" s="3"/>
      <c r="K25" s="3"/>
      <c r="M25" s="4" t="s">
        <v>63</v>
      </c>
      <c r="N25" s="152" t="str">
        <f t="shared" si="4"/>
        <v>Cowpea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2">
        <f>IF($G$28&lt;=0,0,326)</f>
        <v>326</v>
      </c>
      <c r="U25" s="148">
        <f>IF($G$29&lt;=0,0,120)</f>
        <v>120</v>
      </c>
      <c r="V25" s="148">
        <f t="shared" si="0"/>
        <v>150</v>
      </c>
      <c r="W25" s="148">
        <f t="shared" si="1"/>
        <v>100</v>
      </c>
      <c r="X25" s="52">
        <f t="shared" si="2"/>
        <v>200</v>
      </c>
      <c r="Y25" s="53">
        <v>100</v>
      </c>
      <c r="Z25" s="53">
        <v>50</v>
      </c>
      <c r="AA25" s="53">
        <v>50</v>
      </c>
      <c r="AB25" s="149">
        <v>5</v>
      </c>
      <c r="AJ25" s="3"/>
      <c r="AK25" s="3"/>
    </row>
    <row r="26" spans="1:37" ht="18" x14ac:dyDescent="0.4">
      <c r="A26" s="3"/>
      <c r="B26" s="223" t="s">
        <v>51</v>
      </c>
      <c r="C26" s="224"/>
      <c r="D26" s="224"/>
      <c r="E26" s="224"/>
      <c r="F26" s="224"/>
      <c r="G26" s="225"/>
      <c r="H26" s="3"/>
      <c r="I26" s="3"/>
      <c r="J26" s="3"/>
      <c r="K26" s="3"/>
      <c r="M26" s="4" t="s">
        <v>63</v>
      </c>
      <c r="N26" s="150" t="str">
        <f t="shared" si="4"/>
        <v>Sorghum groundnut intercrop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2">
        <f>IF($G$28&lt;=0,0,326)</f>
        <v>326</v>
      </c>
      <c r="U26" s="148">
        <f t="shared" ref="U26" si="5">IF($G$29&lt;=0,0,150)</f>
        <v>150</v>
      </c>
      <c r="V26" s="148">
        <f t="shared" si="0"/>
        <v>150</v>
      </c>
      <c r="W26" s="148">
        <f t="shared" si="1"/>
        <v>100</v>
      </c>
      <c r="X26" s="52">
        <f t="shared" si="2"/>
        <v>200</v>
      </c>
      <c r="Y26" s="53">
        <v>100</v>
      </c>
      <c r="Z26" s="53">
        <v>50</v>
      </c>
      <c r="AA26" s="53">
        <v>50</v>
      </c>
      <c r="AB26" s="149">
        <v>5</v>
      </c>
      <c r="AJ26" s="3"/>
      <c r="AK26" s="3"/>
    </row>
    <row r="27" spans="1:37" ht="39.65" customHeight="1" x14ac:dyDescent="0.3">
      <c r="A27" s="3"/>
      <c r="B27" s="57" t="s">
        <v>49</v>
      </c>
      <c r="C27" s="164" t="s">
        <v>65</v>
      </c>
      <c r="D27" s="165" t="s">
        <v>66</v>
      </c>
      <c r="E27" s="161" t="s">
        <v>116</v>
      </c>
      <c r="F27" s="58" t="s">
        <v>156</v>
      </c>
      <c r="G27" s="59" t="s">
        <v>50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60" t="s">
        <v>0</v>
      </c>
      <c r="C28" s="189">
        <v>0.46</v>
      </c>
      <c r="D28" s="189">
        <v>0</v>
      </c>
      <c r="E28" s="190">
        <v>0</v>
      </c>
      <c r="F28" s="191">
        <v>0</v>
      </c>
      <c r="G28" s="195">
        <v>55000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5" t="s">
        <v>24</v>
      </c>
      <c r="C29" s="192">
        <v>0</v>
      </c>
      <c r="D29" s="192">
        <v>0.46</v>
      </c>
      <c r="E29" s="193">
        <v>0.6</v>
      </c>
      <c r="F29" s="194">
        <v>0</v>
      </c>
      <c r="G29" s="196">
        <v>60000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5" t="s">
        <v>2</v>
      </c>
      <c r="C30" s="192">
        <v>0.18</v>
      </c>
      <c r="D30" s="192">
        <v>0.46</v>
      </c>
      <c r="E30" s="193">
        <v>0</v>
      </c>
      <c r="F30" s="194">
        <v>0</v>
      </c>
      <c r="G30" s="196">
        <v>80000</v>
      </c>
      <c r="H30" s="3"/>
      <c r="I30" s="3"/>
      <c r="J30" s="3"/>
      <c r="K30" s="3"/>
      <c r="L30" s="207" t="s">
        <v>89</v>
      </c>
      <c r="M30" s="208"/>
      <c r="N30" s="209"/>
      <c r="O30" s="216" t="s">
        <v>90</v>
      </c>
      <c r="P30" s="217"/>
      <c r="Q30" s="217"/>
      <c r="R30" s="217"/>
      <c r="S30" s="218"/>
      <c r="T30" s="210" t="s">
        <v>91</v>
      </c>
      <c r="U30" s="210"/>
      <c r="V30" s="210"/>
      <c r="W30" s="210"/>
      <c r="X30" s="210"/>
      <c r="Y30" s="210"/>
      <c r="Z30" s="210"/>
      <c r="AA30" s="210"/>
      <c r="AB30" s="210"/>
      <c r="AC30" s="210" t="s">
        <v>92</v>
      </c>
      <c r="AD30" s="210"/>
      <c r="AE30" s="210"/>
      <c r="AF30" s="210"/>
      <c r="AJ30" s="3"/>
      <c r="AK30" s="3"/>
    </row>
    <row r="31" spans="1:37" ht="16.5" customHeight="1" x14ac:dyDescent="0.35">
      <c r="A31" s="3"/>
      <c r="B31" s="45" t="s">
        <v>54</v>
      </c>
      <c r="C31" s="192">
        <v>0</v>
      </c>
      <c r="D31" s="192">
        <v>0</v>
      </c>
      <c r="E31" s="193">
        <v>0.6</v>
      </c>
      <c r="F31" s="194">
        <v>0</v>
      </c>
      <c r="G31" s="196">
        <v>60000</v>
      </c>
      <c r="H31" s="3"/>
      <c r="I31" s="3"/>
      <c r="J31" s="3"/>
      <c r="K31" s="3"/>
      <c r="L31" s="63" t="s">
        <v>47</v>
      </c>
      <c r="M31" s="64" t="s">
        <v>93</v>
      </c>
      <c r="N31" s="14" t="s">
        <v>94</v>
      </c>
      <c r="O31" s="65" t="s">
        <v>95</v>
      </c>
      <c r="P31" s="66" t="s">
        <v>28</v>
      </c>
      <c r="Q31" s="66" t="s">
        <v>29</v>
      </c>
      <c r="R31" s="66" t="s">
        <v>30</v>
      </c>
      <c r="S31" s="66" t="str">
        <f>P13&amp;" kg"</f>
        <v>Sulp kg</v>
      </c>
      <c r="T31" s="64" t="s">
        <v>96</v>
      </c>
      <c r="U31" s="64" t="s">
        <v>14</v>
      </c>
      <c r="V31" s="64" t="s">
        <v>15</v>
      </c>
      <c r="W31" s="64" t="s">
        <v>16</v>
      </c>
      <c r="X31" s="64" t="s">
        <v>17</v>
      </c>
      <c r="Y31" s="64" t="str">
        <f>P13&amp; " kg (N)"</f>
        <v>Sulp kg (N)</v>
      </c>
      <c r="Z31" s="64" t="str">
        <f>P13&amp;" kg (P)"</f>
        <v>Sulp kg (P)</v>
      </c>
      <c r="AA31" s="64" t="str">
        <f>P13&amp;" kg (K)"</f>
        <v>Sulp kg (K)</v>
      </c>
      <c r="AB31" s="67" t="s">
        <v>97</v>
      </c>
      <c r="AC31" s="64" t="s">
        <v>85</v>
      </c>
      <c r="AD31" s="64" t="s">
        <v>86</v>
      </c>
      <c r="AE31" s="68" t="s">
        <v>87</v>
      </c>
      <c r="AF31" s="67" t="s">
        <v>88</v>
      </c>
      <c r="AG31" s="38"/>
      <c r="AH31" s="38"/>
      <c r="AI31" s="38"/>
      <c r="AJ31" s="3"/>
      <c r="AK31" s="3"/>
    </row>
    <row r="32" spans="1:37" ht="19.5" customHeight="1" x14ac:dyDescent="0.35">
      <c r="A32" s="3"/>
      <c r="B32" s="202" t="s">
        <v>148</v>
      </c>
      <c r="C32" s="61">
        <v>0</v>
      </c>
      <c r="D32" s="61">
        <v>0</v>
      </c>
      <c r="E32" s="61">
        <v>0</v>
      </c>
      <c r="F32" s="203">
        <v>0.123</v>
      </c>
      <c r="G32" s="62">
        <v>20000</v>
      </c>
      <c r="H32" s="3"/>
      <c r="I32" s="3"/>
      <c r="J32" s="3"/>
      <c r="K32" s="3"/>
      <c r="L32" s="47" t="str">
        <f t="shared" ref="L32:L38" si="6">B16</f>
        <v>Soybean</v>
      </c>
      <c r="M32" s="14">
        <f>C16</f>
        <v>1</v>
      </c>
      <c r="N32" s="10">
        <f t="shared" ref="N32:N38" si="7">IF(D16&lt;=0,0,D16)</f>
        <v>700</v>
      </c>
      <c r="O32" s="69">
        <v>0</v>
      </c>
      <c r="P32" s="70">
        <v>9.8790284190057935</v>
      </c>
      <c r="Q32" s="70">
        <v>0</v>
      </c>
      <c r="R32" s="70">
        <v>0</v>
      </c>
      <c r="S32" s="70">
        <v>14.023359498741602</v>
      </c>
      <c r="T32" s="71">
        <f t="shared" ref="T32:T37" si="8">IF(M32&lt;=0,0,O32*$Q$9)</f>
        <v>0</v>
      </c>
      <c r="U32" s="72">
        <f>IF(M32&lt;=0,0,P32*$R$10)</f>
        <v>1.9858822927885447</v>
      </c>
      <c r="V32" s="72">
        <f>IF(M32&lt;=0,0,Q32*$Q$11)</f>
        <v>0</v>
      </c>
      <c r="W32" s="72">
        <f>IF(M32&lt;=0,0,Q32*$R$11)</f>
        <v>0</v>
      </c>
      <c r="X32" s="72">
        <f>IF(M32&lt;=0,0,R32*$S$12)</f>
        <v>0</v>
      </c>
      <c r="Y32" s="72">
        <f t="shared" ref="Y32:Y38" si="9">IF(OR(M32&lt;=0,$C$32=0,$C$32="%"),0,S32*$Q$13)</f>
        <v>0</v>
      </c>
      <c r="Z32" s="72">
        <f t="shared" ref="Z32:Z38" si="10">IF(OR(M32&lt;=0,$D$32=0,$D$32="%"),0,S32*$R$13)</f>
        <v>0</v>
      </c>
      <c r="AA32" s="72">
        <f t="shared" ref="AA32:AA38" si="11">IF(OR(M32&lt;=0,$E$32=0,$E$32="%"),0,S32*$S$13)</f>
        <v>0</v>
      </c>
      <c r="AB32" s="73">
        <f>IF(M32&lt;=0,0,S32*$T$13)</f>
        <v>1.7248732183452171</v>
      </c>
      <c r="AC32" s="74">
        <f>T32+V32+Y32</f>
        <v>0</v>
      </c>
      <c r="AD32" s="74">
        <f>U32+W32+Z32</f>
        <v>1.9858822927885447</v>
      </c>
      <c r="AE32" s="75">
        <f>X32+AA32</f>
        <v>0</v>
      </c>
      <c r="AF32" s="76">
        <f>AB32</f>
        <v>1.7248732183452171</v>
      </c>
      <c r="AG32" s="77"/>
      <c r="AH32" s="77"/>
      <c r="AI32" s="77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7" t="str">
        <f t="shared" si="6"/>
        <v>Groundnut (unshelled)</v>
      </c>
      <c r="M33" s="14">
        <f t="shared" ref="M33:M40" si="12">C17</f>
        <v>1</v>
      </c>
      <c r="N33" s="78">
        <f t="shared" si="7"/>
        <v>800</v>
      </c>
      <c r="O33" s="69">
        <v>0</v>
      </c>
      <c r="P33" s="70">
        <v>18.220000322401678</v>
      </c>
      <c r="Q33" s="70">
        <v>0</v>
      </c>
      <c r="R33" s="70">
        <v>5.0081720435473747</v>
      </c>
      <c r="S33" s="70">
        <v>8.6425255585053282</v>
      </c>
      <c r="T33" s="71">
        <f t="shared" si="8"/>
        <v>0</v>
      </c>
      <c r="U33" s="72">
        <f t="shared" ref="U33:U37" si="13">IF(M33&lt;=0,0,P33*$R$10)</f>
        <v>3.6625844648091852</v>
      </c>
      <c r="V33" s="72">
        <f>IF(M33&lt;=0,0,Q33*$Q$11)</f>
        <v>0</v>
      </c>
      <c r="W33" s="72">
        <f t="shared" ref="W33:W35" si="14">IF(M33&lt;=0,0,Q33*$R$11)</f>
        <v>0</v>
      </c>
      <c r="X33" s="72">
        <f t="shared" ref="X33:X35" si="15">IF(M33&lt;=0,0,R33*$S$12)</f>
        <v>2.4940696776865923</v>
      </c>
      <c r="Y33" s="72">
        <f t="shared" si="9"/>
        <v>0</v>
      </c>
      <c r="Z33" s="72">
        <f t="shared" si="10"/>
        <v>0</v>
      </c>
      <c r="AA33" s="72">
        <f t="shared" si="11"/>
        <v>0</v>
      </c>
      <c r="AB33" s="79">
        <f>IF(M33&lt;=0,0,S33*$T$13)</f>
        <v>1.0630306436961554</v>
      </c>
      <c r="AC33" s="74">
        <f t="shared" ref="AC33:AC38" si="16">T33+V33+Y33</f>
        <v>0</v>
      </c>
      <c r="AD33" s="74">
        <f t="shared" ref="AD33:AD38" si="17">U33+W33+Z33</f>
        <v>3.6625844648091852</v>
      </c>
      <c r="AE33" s="75">
        <f t="shared" ref="AE33:AE38" si="18">X33+AA33</f>
        <v>2.4940696776865923</v>
      </c>
      <c r="AF33" s="76">
        <f t="shared" ref="AF33:AF38" si="19">AB33</f>
        <v>1.0630306436961554</v>
      </c>
      <c r="AG33" s="77"/>
      <c r="AH33" s="77"/>
      <c r="AI33" s="77"/>
      <c r="AJ33" s="3"/>
      <c r="AK33" s="3"/>
    </row>
    <row r="34" spans="1:37" ht="17.5" x14ac:dyDescent="0.35">
      <c r="A34" s="3"/>
      <c r="B34" s="3"/>
      <c r="C34" s="3">
        <v>0</v>
      </c>
      <c r="D34" s="3"/>
      <c r="E34" s="3"/>
      <c r="F34" s="3"/>
      <c r="G34" s="3"/>
      <c r="H34" s="3"/>
      <c r="I34" s="3"/>
      <c r="J34" s="3"/>
      <c r="K34" s="3"/>
      <c r="L34" s="47" t="str">
        <f t="shared" si="6"/>
        <v>Maize LP &lt;3t</v>
      </c>
      <c r="M34" s="14">
        <f t="shared" si="12"/>
        <v>1</v>
      </c>
      <c r="N34" s="82">
        <f t="shared" si="7"/>
        <v>550</v>
      </c>
      <c r="O34" s="83">
        <v>47.743486898236235</v>
      </c>
      <c r="P34" s="84">
        <v>0</v>
      </c>
      <c r="Q34" s="84">
        <v>27.863496929182734</v>
      </c>
      <c r="R34" s="84">
        <v>0</v>
      </c>
      <c r="S34" s="84">
        <v>22.598873134863215</v>
      </c>
      <c r="T34" s="85">
        <f t="shared" si="8"/>
        <v>21.962003973188668</v>
      </c>
      <c r="U34" s="86">
        <f t="shared" si="13"/>
        <v>0</v>
      </c>
      <c r="V34" s="86">
        <f>IF(M34&lt;=0,0,Q34*$Q$11)</f>
        <v>5.0154294472528917</v>
      </c>
      <c r="W34" s="86">
        <f t="shared" si="14"/>
        <v>5.6011201527043131</v>
      </c>
      <c r="X34" s="86">
        <f t="shared" si="15"/>
        <v>0</v>
      </c>
      <c r="Y34" s="86">
        <f t="shared" si="9"/>
        <v>0</v>
      </c>
      <c r="Z34" s="86">
        <f t="shared" si="10"/>
        <v>0</v>
      </c>
      <c r="AA34" s="86">
        <f t="shared" si="11"/>
        <v>0</v>
      </c>
      <c r="AB34" s="79">
        <f>IF(M34&lt;=0,0,S34*$T$13)</f>
        <v>2.7796613955881755</v>
      </c>
      <c r="AC34" s="74">
        <f t="shared" si="16"/>
        <v>26.97743342044156</v>
      </c>
      <c r="AD34" s="74">
        <f t="shared" si="17"/>
        <v>5.6011201527043131</v>
      </c>
      <c r="AE34" s="75">
        <f t="shared" si="18"/>
        <v>0</v>
      </c>
      <c r="AF34" s="76">
        <f t="shared" si="19"/>
        <v>2.7796613955881755</v>
      </c>
      <c r="AG34" s="77"/>
      <c r="AH34" s="77"/>
      <c r="AI34" s="77"/>
      <c r="AJ34" s="3"/>
      <c r="AK34" s="3"/>
    </row>
    <row r="35" spans="1:37" ht="18" x14ac:dyDescent="0.4">
      <c r="A35" s="3"/>
      <c r="B35" s="223" t="s">
        <v>52</v>
      </c>
      <c r="C35" s="225"/>
      <c r="D35" s="3"/>
      <c r="E35" s="3"/>
      <c r="F35" s="3"/>
      <c r="G35" s="3"/>
      <c r="H35" s="3"/>
      <c r="I35" s="3"/>
      <c r="J35" s="3"/>
      <c r="K35" s="3"/>
      <c r="L35" s="47" t="str">
        <f t="shared" si="6"/>
        <v>Maize HP &gt;3t</v>
      </c>
      <c r="M35" s="14">
        <f t="shared" si="12"/>
        <v>1</v>
      </c>
      <c r="N35" s="78">
        <f t="shared" si="7"/>
        <v>550</v>
      </c>
      <c r="O35" s="83">
        <v>44.855096868974428</v>
      </c>
      <c r="P35" s="84">
        <v>1.1187251865209245</v>
      </c>
      <c r="Q35" s="84">
        <v>26.756138201384104</v>
      </c>
      <c r="R35" s="84">
        <v>0</v>
      </c>
      <c r="S35" s="70">
        <v>22.623280017865554</v>
      </c>
      <c r="T35" s="71">
        <f t="shared" si="8"/>
        <v>20.633344559728236</v>
      </c>
      <c r="U35" s="72">
        <f t="shared" si="13"/>
        <v>0.22488613699443624</v>
      </c>
      <c r="V35" s="72">
        <f>IF(M35&lt;=0,0,Q35*$Q$11)</f>
        <v>4.8161048762491383</v>
      </c>
      <c r="W35" s="72">
        <f t="shared" si="14"/>
        <v>5.3785189012422325</v>
      </c>
      <c r="X35" s="72">
        <f t="shared" si="15"/>
        <v>0</v>
      </c>
      <c r="Y35" s="72">
        <f t="shared" si="9"/>
        <v>0</v>
      </c>
      <c r="Z35" s="72">
        <f t="shared" si="10"/>
        <v>0</v>
      </c>
      <c r="AA35" s="72">
        <f t="shared" si="11"/>
        <v>0</v>
      </c>
      <c r="AB35" s="79">
        <f>IF(M35&lt;=0,0,S35*$T$13)</f>
        <v>2.782663442197463</v>
      </c>
      <c r="AC35" s="74">
        <f t="shared" si="16"/>
        <v>25.449449435977375</v>
      </c>
      <c r="AD35" s="74">
        <f t="shared" si="17"/>
        <v>5.6034050382366685</v>
      </c>
      <c r="AE35" s="75">
        <f t="shared" si="18"/>
        <v>0</v>
      </c>
      <c r="AF35" s="76">
        <f t="shared" si="19"/>
        <v>2.782663442197463</v>
      </c>
      <c r="AG35" s="77"/>
      <c r="AH35" s="77"/>
      <c r="AI35" s="77"/>
      <c r="AJ35" s="3"/>
      <c r="AK35" s="3"/>
    </row>
    <row r="36" spans="1:37" ht="35" x14ac:dyDescent="0.35">
      <c r="A36" s="3"/>
      <c r="B36" s="80" t="s">
        <v>53</v>
      </c>
      <c r="C36" s="147">
        <v>500000</v>
      </c>
      <c r="D36" s="81"/>
      <c r="E36" s="29"/>
      <c r="F36" s="29"/>
      <c r="G36" s="3"/>
      <c r="H36" s="3"/>
      <c r="I36" s="3"/>
      <c r="J36" s="3"/>
      <c r="K36" s="3"/>
      <c r="L36" s="47" t="str">
        <f t="shared" si="6"/>
        <v>Rice Lowland</v>
      </c>
      <c r="M36" s="14">
        <f t="shared" si="12"/>
        <v>1</v>
      </c>
      <c r="N36" s="78">
        <f t="shared" si="7"/>
        <v>700</v>
      </c>
      <c r="O36" s="69">
        <v>37.008153279500505</v>
      </c>
      <c r="P36" s="70">
        <v>9.7033346225366888</v>
      </c>
      <c r="Q36" s="70">
        <v>36.763786173955097</v>
      </c>
      <c r="R36" s="70">
        <v>15.909587992091051</v>
      </c>
      <c r="S36" s="70">
        <v>0</v>
      </c>
      <c r="T36" s="71">
        <f t="shared" si="8"/>
        <v>17.023750508570235</v>
      </c>
      <c r="U36" s="72">
        <f>IF(M36&lt;=0,0,P36*$R$10)</f>
        <v>1.9505643258223253</v>
      </c>
      <c r="V36" s="72">
        <f>IF(M36&lt;=0,0,Q36*$Q$11)</f>
        <v>6.617481511311917</v>
      </c>
      <c r="W36" s="72">
        <f>IF(M36&lt;=0,0,Q36*$R$11)</f>
        <v>7.3902562966884542</v>
      </c>
      <c r="X36" s="72">
        <f>IF(M36&lt;=0,0,R36*$S$12)</f>
        <v>7.9229748200613423</v>
      </c>
      <c r="Y36" s="72">
        <f t="shared" si="9"/>
        <v>0</v>
      </c>
      <c r="Z36" s="72">
        <f t="shared" si="10"/>
        <v>0</v>
      </c>
      <c r="AA36" s="72">
        <f t="shared" si="11"/>
        <v>0</v>
      </c>
      <c r="AB36" s="79">
        <f t="shared" ref="AB36:AB37" si="20">IF(M36&lt;=0,0,S36*$T$13)</f>
        <v>0</v>
      </c>
      <c r="AC36" s="74">
        <f t="shared" si="16"/>
        <v>23.641232019882153</v>
      </c>
      <c r="AD36" s="74">
        <f t="shared" si="17"/>
        <v>9.3408206225107797</v>
      </c>
      <c r="AE36" s="75">
        <f t="shared" si="18"/>
        <v>7.9229748200613423</v>
      </c>
      <c r="AF36" s="76">
        <f t="shared" si="19"/>
        <v>0</v>
      </c>
      <c r="AG36" s="77"/>
      <c r="AH36" s="77"/>
      <c r="AI36" s="77"/>
      <c r="AJ36" s="3"/>
      <c r="AK36" s="3"/>
    </row>
    <row r="37" spans="1:37" ht="17.5" x14ac:dyDescent="0.35">
      <c r="A37" s="3"/>
      <c r="B37" s="230"/>
      <c r="C37" s="230"/>
      <c r="D37" s="87"/>
      <c r="E37" s="29"/>
      <c r="F37" s="29"/>
      <c r="G37" s="3"/>
      <c r="H37" s="3"/>
      <c r="I37" s="3"/>
      <c r="J37" s="3"/>
      <c r="K37" s="3"/>
      <c r="L37" s="47" t="str">
        <f t="shared" si="6"/>
        <v>Rice Upland</v>
      </c>
      <c r="M37" s="14">
        <f t="shared" si="12"/>
        <v>1</v>
      </c>
      <c r="N37" s="10">
        <f t="shared" si="7"/>
        <v>700</v>
      </c>
      <c r="O37" s="69">
        <v>14.838510170839648</v>
      </c>
      <c r="P37" s="70">
        <v>7.0872558416050131</v>
      </c>
      <c r="Q37" s="70">
        <v>23.799182941890813</v>
      </c>
      <c r="R37" s="70">
        <v>0.55135756513028489</v>
      </c>
      <c r="S37" s="70">
        <v>0</v>
      </c>
      <c r="T37" s="71">
        <f t="shared" si="8"/>
        <v>6.8257146785862384</v>
      </c>
      <c r="U37" s="72">
        <f t="shared" si="13"/>
        <v>1.4246801692794397</v>
      </c>
      <c r="V37" s="72">
        <f t="shared" ref="V37" si="21">IF(M37&lt;=0,0,Q37*$Q$11)</f>
        <v>4.2838529295403465</v>
      </c>
      <c r="W37" s="72">
        <f>IF(M37&lt;=0,0,Q37*$R$11)</f>
        <v>4.7841117549788912</v>
      </c>
      <c r="X37" s="72">
        <f>IF(M37&lt;=0,0,R37*$S$12)</f>
        <v>0.27457606743488183</v>
      </c>
      <c r="Y37" s="72">
        <f t="shared" si="9"/>
        <v>0</v>
      </c>
      <c r="Z37" s="72">
        <f t="shared" si="10"/>
        <v>0</v>
      </c>
      <c r="AA37" s="72">
        <f t="shared" si="11"/>
        <v>0</v>
      </c>
      <c r="AB37" s="90">
        <f t="shared" si="20"/>
        <v>0</v>
      </c>
      <c r="AC37" s="74">
        <f t="shared" si="16"/>
        <v>11.109567608126586</v>
      </c>
      <c r="AD37" s="74">
        <f t="shared" si="17"/>
        <v>6.2087919242583309</v>
      </c>
      <c r="AE37" s="75">
        <f t="shared" si="18"/>
        <v>0.27457606743488183</v>
      </c>
      <c r="AF37" s="76">
        <f t="shared" si="19"/>
        <v>0</v>
      </c>
      <c r="AG37" s="77"/>
      <c r="AH37" s="77"/>
      <c r="AI37" s="77"/>
      <c r="AJ37" s="3"/>
      <c r="AK37" s="3"/>
    </row>
    <row r="38" spans="1:37" ht="17.5" x14ac:dyDescent="0.35">
      <c r="A38" s="3"/>
      <c r="B38" s="81"/>
      <c r="C38" s="88"/>
      <c r="D38" s="89"/>
      <c r="E38" s="29"/>
      <c r="F38" s="29"/>
      <c r="G38" s="3"/>
      <c r="H38" s="3"/>
      <c r="I38" s="3"/>
      <c r="J38" s="3"/>
      <c r="K38" s="3"/>
      <c r="L38" s="47" t="str">
        <f t="shared" si="6"/>
        <v>Sorghum</v>
      </c>
      <c r="M38" s="14">
        <f t="shared" si="12"/>
        <v>1</v>
      </c>
      <c r="N38" s="78">
        <f t="shared" si="7"/>
        <v>550</v>
      </c>
      <c r="O38" s="91">
        <v>6.2651943751673356</v>
      </c>
      <c r="P38" s="91">
        <v>0</v>
      </c>
      <c r="Q38" s="91">
        <v>7.3296015587052574</v>
      </c>
      <c r="R38" s="91">
        <v>0</v>
      </c>
      <c r="S38" s="91">
        <v>9.2706387686824883</v>
      </c>
      <c r="T38" s="91">
        <f>IF(M38&lt;=0,T440,O38*$Q$9)</f>
        <v>2.8819894125769743</v>
      </c>
      <c r="U38" s="91">
        <f>IF(M38&lt;=0,0,P38*$R$10)</f>
        <v>0</v>
      </c>
      <c r="V38" s="91">
        <f>IF(M38&lt;=0,0,Q38*$Q$11)</f>
        <v>1.3193282805669462</v>
      </c>
      <c r="W38" s="91">
        <f>IF(M38&lt;=0,0,Q38*$R$11)</f>
        <v>1.4733965053309308</v>
      </c>
      <c r="X38" s="91">
        <f>IF(M38&lt;=0,0,R38*$S$12)</f>
        <v>0</v>
      </c>
      <c r="Y38" s="91">
        <f t="shared" si="9"/>
        <v>0</v>
      </c>
      <c r="Z38" s="91">
        <f t="shared" si="10"/>
        <v>0</v>
      </c>
      <c r="AA38" s="91">
        <f t="shared" si="11"/>
        <v>0</v>
      </c>
      <c r="AB38" s="73">
        <f>IF(M38&lt;=0,0,S38*$T$13)</f>
        <v>1.140288568547946</v>
      </c>
      <c r="AC38" s="74">
        <f t="shared" si="16"/>
        <v>4.2013176931439205</v>
      </c>
      <c r="AD38" s="74">
        <f t="shared" si="17"/>
        <v>1.4733965053309308</v>
      </c>
      <c r="AE38" s="75">
        <f t="shared" si="18"/>
        <v>0</v>
      </c>
      <c r="AF38" s="76">
        <f t="shared" si="19"/>
        <v>1.140288568547946</v>
      </c>
      <c r="AG38" s="50"/>
      <c r="AH38" s="50"/>
      <c r="AI38" s="50"/>
      <c r="AJ38" s="3"/>
      <c r="AK38" s="3"/>
    </row>
    <row r="39" spans="1:37" ht="17.5" x14ac:dyDescent="0.35">
      <c r="A39" s="3"/>
      <c r="B39" s="88"/>
      <c r="C39" s="81"/>
      <c r="D39" s="81"/>
      <c r="E39" s="29"/>
      <c r="F39" s="29"/>
      <c r="G39" s="3"/>
      <c r="H39" s="3"/>
      <c r="I39" s="3"/>
      <c r="J39" s="3"/>
      <c r="K39" s="3"/>
      <c r="L39" s="47" t="str">
        <f>B23</f>
        <v>Cowpea</v>
      </c>
      <c r="M39" s="14">
        <f t="shared" si="12"/>
        <v>1</v>
      </c>
      <c r="N39" s="82">
        <f t="shared" ref="N39:N40" si="22">IF(D23&lt;=0,0,D23)</f>
        <v>650</v>
      </c>
      <c r="O39" s="91">
        <v>0</v>
      </c>
      <c r="P39" s="91">
        <v>1.5003047170648456</v>
      </c>
      <c r="Q39" s="91">
        <v>0</v>
      </c>
      <c r="R39" s="91">
        <v>0</v>
      </c>
      <c r="S39" s="91">
        <v>0</v>
      </c>
      <c r="T39" s="91">
        <f>IF(M39&lt;=0,T441,O39*$Q$9)</f>
        <v>0</v>
      </c>
      <c r="U39" s="91">
        <f>IF(M39&lt;=0,0,P39*$R$10)</f>
        <v>0.30159125422437527</v>
      </c>
      <c r="V39" s="91">
        <f t="shared" ref="V39:V40" si="23">IF(M39&lt;=0,0,Q39*$Q$11)</f>
        <v>0</v>
      </c>
      <c r="W39" s="91">
        <f t="shared" ref="W39:W40" si="24">IF(M39&lt;=0,0,Q39*$R$11)</f>
        <v>0</v>
      </c>
      <c r="X39" s="91">
        <f t="shared" ref="X39:X40" si="25">IF(M39&lt;=0,0,R39*$S$12)</f>
        <v>0</v>
      </c>
      <c r="Y39" s="91">
        <f t="shared" ref="Y39:Y40" si="26">IF(OR(M39&lt;=0,$C$32=0,$C$32="%"),0,S39*$Q$13)</f>
        <v>0</v>
      </c>
      <c r="Z39" s="91">
        <f t="shared" ref="Z39:Z40" si="27">IF(OR(M39&lt;=0,$D$32=0,$D$32="%"),0,S39*$R$13)</f>
        <v>0</v>
      </c>
      <c r="AA39" s="91">
        <f t="shared" ref="AA39:AA40" si="28">IF(OR(M39&lt;=0,$E$32=0,$E$32="%"),0,S39*$S$13)</f>
        <v>0</v>
      </c>
      <c r="AB39" s="73">
        <f t="shared" ref="AB39:AB40" si="29">IF(M39&lt;=0,0,S39*$T$13)</f>
        <v>0</v>
      </c>
      <c r="AC39" s="74">
        <f t="shared" ref="AC39:AC40" si="30">T39+V39+Y39</f>
        <v>0</v>
      </c>
      <c r="AD39" s="74">
        <f t="shared" ref="AD39:AD40" si="31">U39+W39+Z39</f>
        <v>0.30159125422437527</v>
      </c>
      <c r="AE39" s="75">
        <f t="shared" ref="AE39:AE40" si="32">X39+AA39</f>
        <v>0</v>
      </c>
      <c r="AF39" s="76">
        <f t="shared" ref="AF39:AF40" si="33">AB39</f>
        <v>0</v>
      </c>
      <c r="AJ39" s="3"/>
      <c r="AK39" s="3"/>
    </row>
    <row r="40" spans="1:37" ht="17.5" x14ac:dyDescent="0.35">
      <c r="A40" s="3"/>
      <c r="B40" s="81"/>
      <c r="C40" s="81"/>
      <c r="D40" s="88"/>
      <c r="E40" s="29"/>
      <c r="F40" s="29"/>
      <c r="G40" s="3"/>
      <c r="H40" s="3"/>
      <c r="I40" s="3"/>
      <c r="J40" s="3"/>
      <c r="K40" s="3"/>
      <c r="L40" s="47" t="str">
        <f>B24</f>
        <v>Sorghum groundnut intercrop</v>
      </c>
      <c r="M40" s="14">
        <f t="shared" si="12"/>
        <v>1</v>
      </c>
      <c r="N40" s="78">
        <f t="shared" si="22"/>
        <v>500</v>
      </c>
      <c r="O40" s="91">
        <v>0</v>
      </c>
      <c r="P40" s="91">
        <v>20.468495097061371</v>
      </c>
      <c r="Q40" s="91">
        <v>0</v>
      </c>
      <c r="R40" s="91">
        <v>0</v>
      </c>
      <c r="S40" s="91">
        <v>0</v>
      </c>
      <c r="T40" s="91">
        <f>IF(M40&lt;=0,T442,O40*$Q$9)</f>
        <v>0</v>
      </c>
      <c r="U40" s="91">
        <f t="shared" ref="U40" si="34">IF(M40&lt;=0,0,P40*$R$10)</f>
        <v>4.1145768844112771</v>
      </c>
      <c r="V40" s="91">
        <f t="shared" si="23"/>
        <v>0</v>
      </c>
      <c r="W40" s="91">
        <f t="shared" si="24"/>
        <v>0</v>
      </c>
      <c r="X40" s="91">
        <f t="shared" si="25"/>
        <v>0</v>
      </c>
      <c r="Y40" s="91">
        <f t="shared" si="26"/>
        <v>0</v>
      </c>
      <c r="Z40" s="91">
        <f t="shared" si="27"/>
        <v>0</v>
      </c>
      <c r="AA40" s="91">
        <f t="shared" si="28"/>
        <v>0</v>
      </c>
      <c r="AB40" s="73">
        <f t="shared" si="29"/>
        <v>0</v>
      </c>
      <c r="AC40" s="74">
        <f t="shared" si="30"/>
        <v>0</v>
      </c>
      <c r="AD40" s="74">
        <f t="shared" si="31"/>
        <v>4.1145768844112771</v>
      </c>
      <c r="AE40" s="75">
        <f t="shared" si="32"/>
        <v>0</v>
      </c>
      <c r="AF40" s="76">
        <f t="shared" si="33"/>
        <v>0</v>
      </c>
      <c r="AJ40" s="3"/>
      <c r="AK40" s="3"/>
    </row>
    <row r="41" spans="1:37" ht="17.5" x14ac:dyDescent="0.35">
      <c r="A41" s="3"/>
      <c r="B41" s="81"/>
      <c r="C41" s="81"/>
      <c r="D41" s="81"/>
      <c r="E41" s="29"/>
      <c r="F41" s="29"/>
      <c r="G41" s="3"/>
      <c r="H41" s="3"/>
      <c r="I41" s="3"/>
      <c r="J41" s="3"/>
      <c r="K41" s="3"/>
      <c r="L41" s="92" t="s">
        <v>62</v>
      </c>
      <c r="M41" s="63"/>
      <c r="N41" s="64"/>
      <c r="O41" s="91"/>
      <c r="P41" s="91"/>
      <c r="Q41" s="91"/>
      <c r="R41" s="91"/>
      <c r="S41" s="91"/>
      <c r="T41" s="93"/>
      <c r="U41" s="93"/>
      <c r="V41" s="93"/>
      <c r="W41" s="93"/>
      <c r="X41" s="93"/>
      <c r="Y41" s="93"/>
      <c r="Z41" s="93"/>
      <c r="AA41" s="93"/>
      <c r="AB41" s="94"/>
      <c r="AC41" s="95"/>
      <c r="AD41" s="95"/>
      <c r="AE41" s="95"/>
      <c r="AF41" s="94"/>
      <c r="AJ41" s="3"/>
      <c r="AK41" s="3"/>
    </row>
    <row r="42" spans="1:37" ht="17.5" x14ac:dyDescent="0.35">
      <c r="A42" s="3"/>
      <c r="B42" s="81"/>
      <c r="C42" s="81"/>
      <c r="D42" s="81"/>
      <c r="E42" s="29"/>
      <c r="F42" s="29"/>
      <c r="G42" s="3"/>
      <c r="H42" s="3"/>
      <c r="I42" s="3"/>
      <c r="J42" s="3"/>
      <c r="K42" s="3"/>
      <c r="L42" s="63"/>
      <c r="M42" s="63"/>
      <c r="N42" s="63" t="s">
        <v>98</v>
      </c>
      <c r="O42" s="91">
        <f>$M$32*O32+$M$33*O33+$M$34*O34+$M$35*O35+$M$36*O36+$M$37*O37+O38*$M$38+$M$39*O39+$M$40*O40</f>
        <v>150.71044159271815</v>
      </c>
      <c r="P42" s="91">
        <f>$M$32*P32+$M$33*P33+$M$34*P34+$M$35*P35+$M$36*P36+$M$37*P37+P38*$M$38+$M$39*P39+$M$40*P40</f>
        <v>67.977144206196314</v>
      </c>
      <c r="Q42" s="91">
        <f>$M$32*Q32+$M$33*Q33+$M$34*Q34+$M$35*Q35+$M$36*Q36+$M$37*Q37+Q38*$M$38+$M$39*Q39+$M$40*Q40</f>
        <v>122.51220580511801</v>
      </c>
      <c r="R42" s="91">
        <f>$M$32*R32+$M$33*R33+$M$34*R34+$M$35*R35+$M$36*R36+$M$37*R37+R38*$M$38+$M$39*R39+$M$40*R40</f>
        <v>21.469117600768712</v>
      </c>
      <c r="S42" s="91">
        <f>$M$32*S32+$M$33*S33+$M$34*S34+$M$35*S35+$M$36*S36+$M$37*S37+S38*$M$38+$M$39*S39+$M$40*S40</f>
        <v>77.158676978658193</v>
      </c>
      <c r="AJ42" s="3"/>
      <c r="AK42" s="3"/>
    </row>
    <row r="43" spans="1:37" ht="18" x14ac:dyDescent="0.4">
      <c r="A43" s="3"/>
      <c r="B43" s="213" t="s">
        <v>55</v>
      </c>
      <c r="C43" s="231"/>
      <c r="D43" s="231"/>
      <c r="E43" s="231"/>
      <c r="F43" s="231"/>
      <c r="G43" s="231"/>
      <c r="H43" s="3"/>
      <c r="I43" s="3"/>
      <c r="J43" s="3"/>
      <c r="K43" s="3"/>
      <c r="AJ43" s="3"/>
      <c r="AK43" s="3"/>
    </row>
    <row r="44" spans="1:37" ht="18" x14ac:dyDescent="0.4">
      <c r="A44" s="3"/>
      <c r="B44" s="96"/>
      <c r="C44" s="235" t="s">
        <v>117</v>
      </c>
      <c r="D44" s="236"/>
      <c r="E44" s="236"/>
      <c r="F44" s="236"/>
      <c r="G44" s="236"/>
      <c r="H44" s="3"/>
      <c r="I44" s="3"/>
      <c r="J44" s="3"/>
      <c r="K44" s="3"/>
      <c r="AJ44" s="3"/>
      <c r="AK44" s="3"/>
    </row>
    <row r="45" spans="1:37" ht="18" x14ac:dyDescent="0.4">
      <c r="A45" s="3"/>
      <c r="B45" s="97" t="s">
        <v>56</v>
      </c>
      <c r="C45" s="98" t="s">
        <v>0</v>
      </c>
      <c r="D45" s="98" t="s">
        <v>1</v>
      </c>
      <c r="E45" s="98" t="s">
        <v>2</v>
      </c>
      <c r="F45" s="98" t="s">
        <v>3</v>
      </c>
      <c r="G45" s="98" t="str">
        <f>B32</f>
        <v>ZS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97" t="str">
        <f>B16</f>
        <v>Soybean</v>
      </c>
      <c r="C46" s="99">
        <f>O32</f>
        <v>0</v>
      </c>
      <c r="D46" s="99">
        <f>P32</f>
        <v>9.8790284190057935</v>
      </c>
      <c r="E46" s="99">
        <f>Q32</f>
        <v>0</v>
      </c>
      <c r="F46" s="99">
        <f>R32</f>
        <v>0</v>
      </c>
      <c r="G46" s="99">
        <f>S32</f>
        <v>14.023359498741602</v>
      </c>
      <c r="H46" s="3"/>
      <c r="I46" s="3"/>
      <c r="J46" s="3"/>
      <c r="K46" s="3"/>
      <c r="L46" s="4" t="s">
        <v>33</v>
      </c>
      <c r="N46" s="207" t="s">
        <v>113</v>
      </c>
      <c r="O46" s="208"/>
      <c r="P46" s="208"/>
      <c r="Q46" s="208"/>
      <c r="R46" s="208"/>
      <c r="S46" s="208"/>
      <c r="T46" s="208"/>
      <c r="U46" s="218"/>
      <c r="Y46" s="38"/>
      <c r="AJ46" s="3"/>
      <c r="AK46" s="3"/>
    </row>
    <row r="47" spans="1:37" ht="15.75" customHeight="1" x14ac:dyDescent="0.35">
      <c r="A47" s="3"/>
      <c r="B47" s="97" t="str">
        <f>B17</f>
        <v>Groundnut (unshelled)</v>
      </c>
      <c r="C47" s="99">
        <f t="shared" ref="C47:D54" si="35">O33</f>
        <v>0</v>
      </c>
      <c r="D47" s="99">
        <f t="shared" si="35"/>
        <v>18.220000322401678</v>
      </c>
      <c r="E47" s="99">
        <f t="shared" ref="E47:E54" si="36">Q33</f>
        <v>0</v>
      </c>
      <c r="F47" s="99">
        <f t="shared" ref="F47:F54" si="37">R33</f>
        <v>5.0081720435473747</v>
      </c>
      <c r="G47" s="99">
        <f t="shared" ref="G47:G54" si="38">S33</f>
        <v>8.6425255585053282</v>
      </c>
      <c r="H47" s="3"/>
      <c r="I47" s="3"/>
      <c r="J47" s="3"/>
      <c r="K47" s="3"/>
      <c r="N47" s="100" t="s">
        <v>47</v>
      </c>
      <c r="O47" s="23" t="s">
        <v>114</v>
      </c>
      <c r="P47" s="38" t="s">
        <v>18</v>
      </c>
      <c r="Q47" s="38" t="s">
        <v>19</v>
      </c>
      <c r="R47" s="38" t="s">
        <v>20</v>
      </c>
      <c r="S47" s="101">
        <f>P15</f>
        <v>0</v>
      </c>
      <c r="T47" s="23" t="s">
        <v>115</v>
      </c>
      <c r="U47" s="64" t="s">
        <v>52</v>
      </c>
      <c r="Y47" s="38"/>
      <c r="AJ47" s="3"/>
      <c r="AK47" s="3"/>
    </row>
    <row r="48" spans="1:37" ht="18" x14ac:dyDescent="0.35">
      <c r="A48" s="3"/>
      <c r="B48" s="97" t="str">
        <f t="shared" ref="B48:B54" si="39">B18</f>
        <v>Maize LP &lt;3t</v>
      </c>
      <c r="C48" s="99">
        <f t="shared" si="35"/>
        <v>47.743486898236235</v>
      </c>
      <c r="D48" s="99">
        <f t="shared" si="35"/>
        <v>0</v>
      </c>
      <c r="E48" s="99">
        <f t="shared" si="36"/>
        <v>27.863496929182734</v>
      </c>
      <c r="F48" s="99">
        <f t="shared" si="37"/>
        <v>0</v>
      </c>
      <c r="G48" s="99">
        <f t="shared" si="38"/>
        <v>22.598873134863215</v>
      </c>
      <c r="H48" s="3"/>
      <c r="I48" s="3"/>
      <c r="J48" s="3"/>
      <c r="K48" s="3"/>
      <c r="L48" s="38"/>
      <c r="N48" s="47" t="str">
        <f t="shared" ref="N48:N56" si="40">B16</f>
        <v>Soybean</v>
      </c>
      <c r="O48" s="48">
        <f t="shared" ref="O48:O54" si="41">O32*$U$9</f>
        <v>0</v>
      </c>
      <c r="P48" s="49">
        <f t="shared" ref="P48:P54" si="42">P32*$U$10</f>
        <v>11854.834102806952</v>
      </c>
      <c r="Q48" s="49">
        <f t="shared" ref="Q48:Q54" si="43">Q32*$U$11</f>
        <v>0</v>
      </c>
      <c r="R48" s="49">
        <f t="shared" ref="R48:R54" si="44">R32*$U$12</f>
        <v>0</v>
      </c>
      <c r="S48" s="49">
        <f t="shared" ref="S48:S54" si="45">S32*$U$13</f>
        <v>5609.3437994966407</v>
      </c>
      <c r="T48" s="102">
        <f t="shared" ref="T48:T55" si="46">SUM(O48:S48)*M32</f>
        <v>17464.177902303592</v>
      </c>
      <c r="U48" s="232"/>
      <c r="Y48" s="38"/>
      <c r="AJ48" s="3"/>
      <c r="AK48" s="3"/>
    </row>
    <row r="49" spans="1:37" ht="18" x14ac:dyDescent="0.35">
      <c r="A49" s="3"/>
      <c r="B49" s="97" t="str">
        <f t="shared" si="39"/>
        <v>Maize HP &gt;3t</v>
      </c>
      <c r="C49" s="99">
        <f t="shared" si="35"/>
        <v>44.855096868974428</v>
      </c>
      <c r="D49" s="99">
        <f t="shared" si="35"/>
        <v>1.1187251865209245</v>
      </c>
      <c r="E49" s="99">
        <f t="shared" si="36"/>
        <v>26.756138201384104</v>
      </c>
      <c r="F49" s="99">
        <f t="shared" si="37"/>
        <v>0</v>
      </c>
      <c r="G49" s="99">
        <f t="shared" si="38"/>
        <v>22.623280017865554</v>
      </c>
      <c r="H49" s="3"/>
      <c r="I49" s="3"/>
      <c r="J49" s="3"/>
      <c r="K49" s="3"/>
      <c r="N49" s="47" t="str">
        <f t="shared" si="40"/>
        <v>Groundnut (unshelled)</v>
      </c>
      <c r="O49" s="48">
        <f t="shared" si="41"/>
        <v>0</v>
      </c>
      <c r="P49" s="49">
        <f t="shared" si="42"/>
        <v>21864.000386882013</v>
      </c>
      <c r="Q49" s="49">
        <f t="shared" si="43"/>
        <v>0</v>
      </c>
      <c r="R49" s="49">
        <f t="shared" si="44"/>
        <v>6009.8064522568493</v>
      </c>
      <c r="S49" s="49">
        <f t="shared" si="45"/>
        <v>3457.0102234021315</v>
      </c>
      <c r="T49" s="103">
        <f t="shared" si="46"/>
        <v>31330.817062540995</v>
      </c>
      <c r="U49" s="233"/>
      <c r="AJ49" s="3"/>
      <c r="AK49" s="3"/>
    </row>
    <row r="50" spans="1:37" ht="18" x14ac:dyDescent="0.35">
      <c r="A50" s="3"/>
      <c r="B50" s="97" t="str">
        <f t="shared" si="39"/>
        <v>Rice Lowland</v>
      </c>
      <c r="C50" s="99">
        <f t="shared" si="35"/>
        <v>37.008153279500505</v>
      </c>
      <c r="D50" s="99">
        <f t="shared" si="35"/>
        <v>9.7033346225366888</v>
      </c>
      <c r="E50" s="99">
        <f t="shared" si="36"/>
        <v>36.763786173955097</v>
      </c>
      <c r="F50" s="99">
        <f t="shared" si="37"/>
        <v>15.909587992091051</v>
      </c>
      <c r="G50" s="99">
        <f t="shared" si="38"/>
        <v>0</v>
      </c>
      <c r="H50" s="3"/>
      <c r="I50" s="3"/>
      <c r="J50" s="3"/>
      <c r="K50" s="3"/>
      <c r="N50" s="47" t="str">
        <f t="shared" si="40"/>
        <v>Maize LP &lt;3t</v>
      </c>
      <c r="O50" s="48">
        <f t="shared" si="41"/>
        <v>52517.835588059861</v>
      </c>
      <c r="P50" s="49">
        <f t="shared" si="42"/>
        <v>0</v>
      </c>
      <c r="Q50" s="49">
        <f t="shared" si="43"/>
        <v>44581.595086692374</v>
      </c>
      <c r="R50" s="49">
        <f t="shared" si="44"/>
        <v>0</v>
      </c>
      <c r="S50" s="49">
        <f t="shared" si="45"/>
        <v>9039.5492539452862</v>
      </c>
      <c r="T50" s="103">
        <f t="shared" si="46"/>
        <v>106138.97992869752</v>
      </c>
      <c r="U50" s="233"/>
      <c r="AJ50" s="3"/>
      <c r="AK50" s="3"/>
    </row>
    <row r="51" spans="1:37" ht="18" x14ac:dyDescent="0.35">
      <c r="A51" s="3"/>
      <c r="B51" s="97" t="str">
        <f t="shared" si="39"/>
        <v>Rice Upland</v>
      </c>
      <c r="C51" s="99">
        <f t="shared" si="35"/>
        <v>14.838510170839648</v>
      </c>
      <c r="D51" s="99">
        <f t="shared" si="35"/>
        <v>7.0872558416050131</v>
      </c>
      <c r="E51" s="99">
        <f t="shared" si="36"/>
        <v>23.799182941890813</v>
      </c>
      <c r="F51" s="99">
        <f t="shared" si="37"/>
        <v>0.55135756513028489</v>
      </c>
      <c r="G51" s="99">
        <f t="shared" si="38"/>
        <v>0</v>
      </c>
      <c r="H51" s="108"/>
      <c r="I51" s="3"/>
      <c r="J51" s="3"/>
      <c r="K51" s="3"/>
      <c r="N51" s="47" t="str">
        <f t="shared" si="40"/>
        <v>Maize HP &gt;3t</v>
      </c>
      <c r="O51" s="48">
        <f t="shared" si="41"/>
        <v>49340.606555871869</v>
      </c>
      <c r="P51" s="49">
        <f t="shared" si="42"/>
        <v>1342.4702238251093</v>
      </c>
      <c r="Q51" s="49">
        <f t="shared" si="43"/>
        <v>42809.821122214569</v>
      </c>
      <c r="R51" s="49">
        <f t="shared" si="44"/>
        <v>0</v>
      </c>
      <c r="S51" s="49">
        <f t="shared" si="45"/>
        <v>9049.3120071462217</v>
      </c>
      <c r="T51" s="103">
        <f t="shared" si="46"/>
        <v>102542.20990905777</v>
      </c>
      <c r="U51" s="233"/>
      <c r="AJ51" s="3"/>
      <c r="AK51" s="3"/>
    </row>
    <row r="52" spans="1:37" ht="18" x14ac:dyDescent="0.35">
      <c r="A52" s="3"/>
      <c r="B52" s="97" t="str">
        <f t="shared" si="39"/>
        <v>Sorghum</v>
      </c>
      <c r="C52" s="104">
        <f t="shared" si="35"/>
        <v>6.2651943751673356</v>
      </c>
      <c r="D52" s="104">
        <f t="shared" si="35"/>
        <v>0</v>
      </c>
      <c r="E52" s="104">
        <f t="shared" si="36"/>
        <v>7.3296015587052574</v>
      </c>
      <c r="F52" s="105">
        <f t="shared" si="37"/>
        <v>0</v>
      </c>
      <c r="G52" s="99">
        <f t="shared" si="38"/>
        <v>9.2706387686824883</v>
      </c>
      <c r="H52" s="108"/>
      <c r="I52" s="3"/>
      <c r="J52" s="3"/>
      <c r="K52" s="3"/>
      <c r="N52" s="47" t="str">
        <f t="shared" si="40"/>
        <v>Rice Lowland</v>
      </c>
      <c r="O52" s="48">
        <f t="shared" si="41"/>
        <v>40708.968607450552</v>
      </c>
      <c r="P52" s="49">
        <f t="shared" si="42"/>
        <v>11644.001547044027</v>
      </c>
      <c r="Q52" s="49">
        <f t="shared" si="43"/>
        <v>58822.057878328153</v>
      </c>
      <c r="R52" s="49">
        <f t="shared" si="44"/>
        <v>19091.505590509263</v>
      </c>
      <c r="S52" s="49">
        <f t="shared" si="45"/>
        <v>0</v>
      </c>
      <c r="T52" s="103">
        <f t="shared" si="46"/>
        <v>130266.533623332</v>
      </c>
      <c r="U52" s="233"/>
      <c r="W52" s="226"/>
      <c r="X52" s="226"/>
      <c r="AJ52" s="3"/>
      <c r="AK52" s="3"/>
    </row>
    <row r="53" spans="1:37" ht="17.5" customHeight="1" x14ac:dyDescent="0.35">
      <c r="A53" s="3"/>
      <c r="B53" s="97" t="str">
        <f t="shared" si="39"/>
        <v>Cowpea</v>
      </c>
      <c r="C53" s="104">
        <f t="shared" si="35"/>
        <v>0</v>
      </c>
      <c r="D53" s="104">
        <f t="shared" si="35"/>
        <v>1.5003047170648456</v>
      </c>
      <c r="E53" s="104">
        <f t="shared" si="36"/>
        <v>0</v>
      </c>
      <c r="F53" s="105">
        <f t="shared" si="37"/>
        <v>0</v>
      </c>
      <c r="G53" s="99">
        <f t="shared" si="38"/>
        <v>0</v>
      </c>
      <c r="H53" s="27"/>
      <c r="I53" s="3"/>
      <c r="J53" s="3"/>
      <c r="K53" s="3"/>
      <c r="N53" s="47" t="str">
        <f t="shared" si="40"/>
        <v>Rice Upland</v>
      </c>
      <c r="O53" s="48">
        <f t="shared" si="41"/>
        <v>16322.361187923612</v>
      </c>
      <c r="P53" s="49">
        <f t="shared" si="42"/>
        <v>8504.7070099260163</v>
      </c>
      <c r="Q53" s="49">
        <f t="shared" si="43"/>
        <v>38078.6927070253</v>
      </c>
      <c r="R53" s="49">
        <f t="shared" si="44"/>
        <v>661.62907815634185</v>
      </c>
      <c r="S53" s="49">
        <f t="shared" si="45"/>
        <v>0</v>
      </c>
      <c r="T53" s="109">
        <f t="shared" si="46"/>
        <v>63567.389983031273</v>
      </c>
      <c r="U53" s="233"/>
      <c r="W53" s="38"/>
      <c r="X53" s="38"/>
      <c r="AJ53" s="3"/>
      <c r="AK53" s="3"/>
    </row>
    <row r="54" spans="1:37" ht="18" x14ac:dyDescent="0.35">
      <c r="A54" s="3"/>
      <c r="B54" s="97" t="str">
        <f t="shared" si="39"/>
        <v>Sorghum groundnut intercrop</v>
      </c>
      <c r="C54" s="104">
        <f t="shared" si="35"/>
        <v>0</v>
      </c>
      <c r="D54" s="104">
        <f t="shared" si="35"/>
        <v>20.468495097061371</v>
      </c>
      <c r="E54" s="104">
        <f t="shared" si="36"/>
        <v>0</v>
      </c>
      <c r="F54" s="105">
        <f t="shared" si="37"/>
        <v>0</v>
      </c>
      <c r="G54" s="99">
        <f t="shared" si="38"/>
        <v>0</v>
      </c>
      <c r="H54" s="115"/>
      <c r="I54" s="3"/>
      <c r="J54" s="3"/>
      <c r="K54" s="3"/>
      <c r="N54" s="47" t="str">
        <f t="shared" si="40"/>
        <v>Sorghum</v>
      </c>
      <c r="O54" s="48">
        <f t="shared" si="41"/>
        <v>6891.7138126840691</v>
      </c>
      <c r="P54" s="49">
        <f t="shared" si="42"/>
        <v>0</v>
      </c>
      <c r="Q54" s="49">
        <f t="shared" si="43"/>
        <v>11727.362493928413</v>
      </c>
      <c r="R54" s="49">
        <f t="shared" si="44"/>
        <v>0</v>
      </c>
      <c r="S54" s="49">
        <f t="shared" si="45"/>
        <v>3708.2555074729953</v>
      </c>
      <c r="T54" s="109">
        <f t="shared" si="46"/>
        <v>22327.331814085475</v>
      </c>
      <c r="U54" s="234"/>
      <c r="W54" s="38"/>
      <c r="X54" s="38"/>
      <c r="Z54" s="38"/>
      <c r="AA54" s="38"/>
      <c r="AJ54" s="3"/>
      <c r="AK54" s="3"/>
    </row>
    <row r="55" spans="1:37" ht="18" x14ac:dyDescent="0.4">
      <c r="A55" s="3"/>
      <c r="B55" s="106" t="s">
        <v>61</v>
      </c>
      <c r="C55" s="107">
        <f>O42</f>
        <v>150.71044159271815</v>
      </c>
      <c r="D55" s="107">
        <f>P42</f>
        <v>67.977144206196314</v>
      </c>
      <c r="E55" s="107">
        <f t="shared" ref="E55:G55" si="47">Q42</f>
        <v>122.51220580511801</v>
      </c>
      <c r="F55" s="107">
        <f t="shared" si="47"/>
        <v>21.469117600768712</v>
      </c>
      <c r="G55" s="107">
        <f t="shared" si="47"/>
        <v>77.158676978658193</v>
      </c>
      <c r="H55" s="115"/>
      <c r="I55" s="3"/>
      <c r="J55" s="3"/>
      <c r="K55" s="3"/>
      <c r="N55" s="47" t="str">
        <f t="shared" si="40"/>
        <v>Cowpea</v>
      </c>
      <c r="O55" s="48">
        <f t="shared" ref="O55" si="48">O39*$U$9</f>
        <v>0</v>
      </c>
      <c r="P55" s="49">
        <f t="shared" ref="P55:P56" si="49">P39*$U$10</f>
        <v>1800.3656604778148</v>
      </c>
      <c r="Q55" s="49">
        <f t="shared" ref="Q55:Q56" si="50">Q39*$U$11</f>
        <v>0</v>
      </c>
      <c r="R55" s="49">
        <f t="shared" ref="R55:R56" si="51">R39*$U$12</f>
        <v>0</v>
      </c>
      <c r="S55" s="49">
        <f t="shared" ref="S55:S56" si="52">S39*$U$13</f>
        <v>0</v>
      </c>
      <c r="T55" s="109">
        <f t="shared" si="46"/>
        <v>1800.3656604778148</v>
      </c>
      <c r="U55" s="146"/>
      <c r="W55" s="38"/>
      <c r="X55" s="38"/>
      <c r="Z55" s="38"/>
      <c r="AA55" s="38"/>
      <c r="AJ55" s="3"/>
      <c r="AK55" s="3"/>
    </row>
    <row r="56" spans="1:37" ht="18" x14ac:dyDescent="0.4">
      <c r="A56" s="3"/>
      <c r="B56" s="213" t="s">
        <v>118</v>
      </c>
      <c r="C56" s="219"/>
      <c r="D56" s="220"/>
      <c r="E56" s="3"/>
      <c r="F56" s="3"/>
      <c r="G56" s="3"/>
      <c r="H56" s="115"/>
      <c r="I56" s="3"/>
      <c r="J56" s="3"/>
      <c r="K56" s="3"/>
      <c r="N56" s="47" t="str">
        <f t="shared" si="40"/>
        <v>Sorghum groundnut intercrop</v>
      </c>
      <c r="O56" s="48">
        <f>O40*$U$9</f>
        <v>0</v>
      </c>
      <c r="P56" s="49">
        <f t="shared" si="49"/>
        <v>24562.194116473645</v>
      </c>
      <c r="Q56" s="49">
        <f t="shared" si="50"/>
        <v>0</v>
      </c>
      <c r="R56" s="49">
        <f t="shared" si="51"/>
        <v>0</v>
      </c>
      <c r="S56" s="49">
        <f t="shared" si="52"/>
        <v>0</v>
      </c>
      <c r="T56" s="109">
        <f t="shared" ref="T56" si="53">SUM(O56:S56)*M40</f>
        <v>24562.194116473645</v>
      </c>
      <c r="U56" s="146"/>
      <c r="W56" s="38"/>
      <c r="X56" s="38"/>
      <c r="Z56" s="38"/>
      <c r="AA56" s="38"/>
      <c r="AJ56" s="3"/>
      <c r="AK56" s="3"/>
    </row>
    <row r="57" spans="1:37" ht="36" x14ac:dyDescent="0.35">
      <c r="A57" s="3"/>
      <c r="B57" s="97" t="s">
        <v>47</v>
      </c>
      <c r="C57" s="110" t="s">
        <v>57</v>
      </c>
      <c r="D57" s="111" t="s">
        <v>58</v>
      </c>
      <c r="E57" s="3"/>
      <c r="F57" s="3"/>
      <c r="G57" s="3"/>
      <c r="H57" s="115"/>
      <c r="I57" s="3"/>
      <c r="J57" s="3"/>
      <c r="K57" s="3"/>
      <c r="L57" s="112"/>
      <c r="M57" s="112"/>
      <c r="N57" s="153" t="s">
        <v>42</v>
      </c>
      <c r="O57" s="154">
        <f>SUM(O48:O56)</f>
        <v>165781.48575198994</v>
      </c>
      <c r="P57" s="154">
        <f>SUM(P48:P56)</f>
        <v>81572.573047435581</v>
      </c>
      <c r="Q57" s="154">
        <f>SUM(Q48:Q56)</f>
        <v>196019.52928818882</v>
      </c>
      <c r="R57" s="154">
        <f>SUM(R48:R56)</f>
        <v>25762.941120922453</v>
      </c>
      <c r="S57" s="154">
        <f>SUM(S48:S56)</f>
        <v>30863.470791463275</v>
      </c>
      <c r="T57" s="155">
        <f>T54+T53+T52+T51+T50+T49+T48+T55+T56</f>
        <v>500000.00000000006</v>
      </c>
      <c r="U57" s="92">
        <f>C36</f>
        <v>500000</v>
      </c>
      <c r="Y57" s="38"/>
      <c r="AJ57" s="3"/>
      <c r="AK57" s="3"/>
    </row>
    <row r="58" spans="1:37" ht="18" x14ac:dyDescent="0.35">
      <c r="A58" s="3"/>
      <c r="B58" s="97" t="str">
        <f>B16</f>
        <v>Soybean</v>
      </c>
      <c r="C58" s="114">
        <f>W64</f>
        <v>280.76806002699885</v>
      </c>
      <c r="D58" s="159">
        <f>X64</f>
        <v>179073.46411659563</v>
      </c>
      <c r="E58" s="3"/>
      <c r="F58" s="3"/>
      <c r="G58" s="3"/>
      <c r="H58" s="115"/>
      <c r="I58" s="3"/>
      <c r="J58" s="3"/>
      <c r="K58" s="3"/>
      <c r="L58" s="112"/>
      <c r="M58" s="112"/>
      <c r="N58" s="112"/>
      <c r="Y58" s="116"/>
      <c r="AJ58" s="3"/>
      <c r="AK58" s="3"/>
    </row>
    <row r="59" spans="1:37" ht="18" x14ac:dyDescent="0.35">
      <c r="A59" s="3"/>
      <c r="B59" s="97" t="str">
        <f t="shared" ref="B59:B66" si="54">B17</f>
        <v>Groundnut (unshelled)</v>
      </c>
      <c r="C59" s="114">
        <f>W68</f>
        <v>355.00224968014373</v>
      </c>
      <c r="D59" s="159">
        <f>X68</f>
        <v>252670.98268157398</v>
      </c>
      <c r="E59" s="3"/>
      <c r="F59" s="3"/>
      <c r="G59" s="3"/>
      <c r="H59" s="115"/>
      <c r="I59" s="3"/>
      <c r="J59" s="3"/>
      <c r="K59" s="3"/>
      <c r="L59" s="112"/>
      <c r="M59" s="112"/>
      <c r="N59" s="112"/>
      <c r="Y59" s="116"/>
      <c r="AJ59" s="3"/>
      <c r="AK59" s="3"/>
    </row>
    <row r="60" spans="1:37" ht="18" x14ac:dyDescent="0.35">
      <c r="A60" s="3"/>
      <c r="B60" s="97" t="str">
        <f t="shared" si="54"/>
        <v>Maize LP &lt;3t</v>
      </c>
      <c r="C60" s="114">
        <f>W72</f>
        <v>2093.0372154296024</v>
      </c>
      <c r="D60" s="159">
        <f>X72</f>
        <v>1045031.4885575839</v>
      </c>
      <c r="E60" s="3"/>
      <c r="F60" s="3"/>
      <c r="G60" s="3"/>
      <c r="H60" s="3"/>
      <c r="I60" s="3"/>
      <c r="J60" s="3"/>
      <c r="K60" s="3"/>
      <c r="L60" s="112"/>
      <c r="M60" s="112"/>
      <c r="Y60" s="116"/>
      <c r="AJ60" s="3"/>
      <c r="AK60" s="3"/>
    </row>
    <row r="61" spans="1:37" ht="18" x14ac:dyDescent="0.35">
      <c r="A61" s="3"/>
      <c r="B61" s="97" t="str">
        <f t="shared" si="54"/>
        <v>Maize HP &gt;3t</v>
      </c>
      <c r="C61" s="114">
        <f>W76</f>
        <v>1934.7568166592264</v>
      </c>
      <c r="D61" s="159">
        <f>X76</f>
        <v>961574.03925351682</v>
      </c>
      <c r="E61" s="3"/>
      <c r="F61" s="3"/>
      <c r="G61" s="3"/>
      <c r="H61" s="3"/>
      <c r="I61" s="3"/>
      <c r="J61" s="3"/>
      <c r="K61" s="3"/>
      <c r="Y61" s="116"/>
      <c r="AJ61" s="3"/>
      <c r="AK61" s="3"/>
    </row>
    <row r="62" spans="1:37" ht="18" x14ac:dyDescent="0.35">
      <c r="A62" s="3"/>
      <c r="B62" s="97" t="str">
        <f t="shared" si="54"/>
        <v>Rice Lowland</v>
      </c>
      <c r="C62" s="114">
        <f>W80</f>
        <v>1858.4528251274194</v>
      </c>
      <c r="D62" s="159">
        <f>X80</f>
        <v>1170650.4439658616</v>
      </c>
      <c r="E62" s="3"/>
      <c r="F62" s="3"/>
      <c r="G62" s="3"/>
      <c r="H62" s="3"/>
      <c r="I62" s="3"/>
      <c r="J62" s="3"/>
      <c r="K62" s="3"/>
      <c r="L62" s="207" t="s">
        <v>103</v>
      </c>
      <c r="M62" s="208"/>
      <c r="N62" s="208"/>
      <c r="O62" s="208"/>
      <c r="P62" s="208"/>
      <c r="Q62" s="208"/>
      <c r="R62" s="209"/>
      <c r="S62" s="207" t="s">
        <v>104</v>
      </c>
      <c r="T62" s="208"/>
      <c r="U62" s="208"/>
      <c r="V62" s="208"/>
      <c r="W62" s="207" t="s">
        <v>37</v>
      </c>
      <c r="X62" s="209"/>
      <c r="AJ62" s="3"/>
      <c r="AK62" s="3"/>
    </row>
    <row r="63" spans="1:37" ht="18" x14ac:dyDescent="0.35">
      <c r="A63" s="3"/>
      <c r="B63" s="97" t="str">
        <f t="shared" si="54"/>
        <v>Rice Upland</v>
      </c>
      <c r="C63" s="114">
        <f>W84</f>
        <v>575.35488566984861</v>
      </c>
      <c r="D63" s="159">
        <f>X84</f>
        <v>339181.02998586273</v>
      </c>
      <c r="E63" s="3"/>
      <c r="F63" s="3"/>
      <c r="G63" s="3"/>
      <c r="H63" s="108"/>
      <c r="I63" s="3"/>
      <c r="J63" s="3"/>
      <c r="K63" s="3"/>
      <c r="L63" s="63" t="s">
        <v>105</v>
      </c>
      <c r="M63" s="64" t="s">
        <v>39</v>
      </c>
      <c r="N63" s="64" t="s">
        <v>40</v>
      </c>
      <c r="O63" s="64" t="s">
        <v>41</v>
      </c>
      <c r="P63" s="63" t="s">
        <v>106</v>
      </c>
      <c r="Q63" s="64" t="s">
        <v>107</v>
      </c>
      <c r="R63" s="64" t="s">
        <v>108</v>
      </c>
      <c r="S63" s="64" t="s">
        <v>109</v>
      </c>
      <c r="T63" s="64" t="s">
        <v>110</v>
      </c>
      <c r="U63" s="64" t="s">
        <v>111</v>
      </c>
      <c r="V63" s="64" t="s">
        <v>112</v>
      </c>
      <c r="W63" s="64" t="s">
        <v>57</v>
      </c>
      <c r="X63" s="64" t="s">
        <v>58</v>
      </c>
      <c r="AJ63" s="3"/>
      <c r="AK63" s="3"/>
    </row>
    <row r="64" spans="1:37" ht="18" x14ac:dyDescent="0.35">
      <c r="A64" s="3"/>
      <c r="B64" s="97" t="str">
        <f t="shared" si="54"/>
        <v>Sorghum</v>
      </c>
      <c r="C64" s="114">
        <f>W88</f>
        <v>242.75054786392803</v>
      </c>
      <c r="D64" s="159">
        <f>X88</f>
        <v>111185.46951107495</v>
      </c>
      <c r="E64" s="3"/>
      <c r="F64" s="3"/>
      <c r="G64" s="3"/>
      <c r="H64" s="108"/>
      <c r="I64" s="3"/>
      <c r="J64" s="3"/>
      <c r="K64" s="3"/>
      <c r="L64" s="167" t="s">
        <v>130</v>
      </c>
      <c r="M64" s="166">
        <v>0</v>
      </c>
      <c r="N64" s="166">
        <v>0</v>
      </c>
      <c r="O64" s="166">
        <v>0</v>
      </c>
      <c r="P64" s="118">
        <f>M64-N64</f>
        <v>0</v>
      </c>
      <c r="Q64" s="91">
        <f>IFERROR((M64-N64*POWER(O64,AC32)-(P64)),0)</f>
        <v>0</v>
      </c>
      <c r="R64" s="91">
        <f>Q64*1000</f>
        <v>0</v>
      </c>
      <c r="S64" s="119">
        <f>R64*N32*M32</f>
        <v>0</v>
      </c>
      <c r="T64" s="120">
        <f>S64+S65+S66+S67</f>
        <v>196537.64201889921</v>
      </c>
      <c r="U64" s="120">
        <f>T48</f>
        <v>17464.177902303592</v>
      </c>
      <c r="V64" s="120">
        <f>T64-U64</f>
        <v>179073.46411659563</v>
      </c>
      <c r="W64" s="113">
        <f>R64+R65+R66+R67</f>
        <v>280.76806002699885</v>
      </c>
      <c r="X64" s="121">
        <f>IF(OR(M32=0,M32=1),$V$64,IF(M32&lt;1,$V$64/M32,IF(M32&gt;1,$V$64/M32,0)))</f>
        <v>179073.46411659563</v>
      </c>
      <c r="AJ64" s="3"/>
      <c r="AK64" s="3"/>
    </row>
    <row r="65" spans="1:37" ht="18" x14ac:dyDescent="0.35">
      <c r="A65" s="3"/>
      <c r="B65" s="97" t="str">
        <f t="shared" si="54"/>
        <v>Cowpea</v>
      </c>
      <c r="C65" s="114">
        <f>W92</f>
        <v>13.649941401310484</v>
      </c>
      <c r="D65" s="159">
        <f>X92</f>
        <v>7072.0962503739993</v>
      </c>
      <c r="E65" s="3"/>
      <c r="F65" s="3"/>
      <c r="G65" s="3"/>
      <c r="H65" s="27"/>
      <c r="I65" s="3"/>
      <c r="J65" s="3"/>
      <c r="K65" s="3"/>
      <c r="L65" s="168" t="s">
        <v>131</v>
      </c>
      <c r="M65" s="198">
        <v>1.5419029310006265</v>
      </c>
      <c r="N65" s="198">
        <v>0.30990293100062671</v>
      </c>
      <c r="O65" s="198">
        <v>0.82</v>
      </c>
      <c r="P65" s="118">
        <f t="shared" ref="P65" si="55">M65-N65</f>
        <v>1.2319999999999998</v>
      </c>
      <c r="Q65" s="91">
        <f>IFERROR(((M65-N65*POWER(O65,AD32)-(P65))),0)</f>
        <v>0.100939572703584</v>
      </c>
      <c r="R65" s="91">
        <f t="shared" ref="R65" si="56">Q65*1000</f>
        <v>100.93957270358401</v>
      </c>
      <c r="S65" s="119">
        <f>R65*N32*M32</f>
        <v>70657.700892508801</v>
      </c>
      <c r="T65" s="120"/>
      <c r="U65" s="120"/>
      <c r="V65" s="120"/>
      <c r="W65" s="113"/>
      <c r="X65" s="63"/>
      <c r="AJ65" s="3"/>
      <c r="AK65" s="3"/>
    </row>
    <row r="66" spans="1:37" ht="18" x14ac:dyDescent="0.35">
      <c r="A66" s="3"/>
      <c r="B66" s="97" t="str">
        <f t="shared" si="54"/>
        <v>Sorghum groundnut intercrop</v>
      </c>
      <c r="C66" s="160">
        <f>W96</f>
        <v>291.75105130213376</v>
      </c>
      <c r="D66" s="159">
        <f>X96</f>
        <v>121313.33153459324</v>
      </c>
      <c r="E66" s="3"/>
      <c r="F66" s="3"/>
      <c r="G66" s="3"/>
      <c r="H66" s="129"/>
      <c r="I66" s="3"/>
      <c r="J66" s="3"/>
      <c r="K66" s="3"/>
      <c r="L66" s="169" t="s">
        <v>132</v>
      </c>
      <c r="M66" s="198">
        <v>1.7617491754274865</v>
      </c>
      <c r="N66" s="198">
        <v>4.841584209415295E-2</v>
      </c>
      <c r="O66" s="198">
        <v>0.85899999999999999</v>
      </c>
      <c r="P66" s="123">
        <f t="shared" ref="P66" si="57">M66-N66</f>
        <v>1.7133333333333336</v>
      </c>
      <c r="Q66" s="124">
        <f>IFERROR(((M66-N66*POWER(O66,AE32)-(P66))),0)</f>
        <v>0</v>
      </c>
      <c r="R66" s="124">
        <f t="shared" ref="R66" si="58">Q66*1000</f>
        <v>0</v>
      </c>
      <c r="S66" s="125">
        <f>R66*N32*M32</f>
        <v>0</v>
      </c>
      <c r="T66" s="126"/>
      <c r="U66" s="126"/>
      <c r="V66" s="126"/>
      <c r="W66" s="127"/>
      <c r="X66" s="128"/>
      <c r="AJ66" s="3"/>
      <c r="AK66" s="3"/>
    </row>
    <row r="67" spans="1:37" ht="18" x14ac:dyDescent="0.4">
      <c r="A67" s="3"/>
      <c r="B67" s="213" t="s">
        <v>59</v>
      </c>
      <c r="C67" s="214"/>
      <c r="D67" s="215"/>
      <c r="E67" s="129"/>
      <c r="F67" s="129"/>
      <c r="G67" s="21"/>
      <c r="H67" s="129"/>
      <c r="I67" s="3"/>
      <c r="J67" s="3"/>
      <c r="K67" s="3"/>
      <c r="L67" s="117" t="s">
        <v>149</v>
      </c>
      <c r="M67" s="200">
        <v>1.7755831273922333</v>
      </c>
      <c r="N67" s="200">
        <v>0.19518312739223331</v>
      </c>
      <c r="O67" s="200">
        <v>0.22900000000000001</v>
      </c>
      <c r="P67" s="128">
        <f t="shared" ref="P67" si="59">M67-N67</f>
        <v>1.5804</v>
      </c>
      <c r="Q67" s="91">
        <f>IFERROR((M67-N67*POWER(O67,AF32)-(P67)),0)</f>
        <v>0.17982848732341483</v>
      </c>
      <c r="R67" s="124">
        <f t="shared" ref="R67" si="60">Q67*1000</f>
        <v>179.82848732341483</v>
      </c>
      <c r="S67" s="125">
        <f>R67*N32*M32</f>
        <v>125879.94112639039</v>
      </c>
      <c r="T67" s="126"/>
      <c r="U67" s="126"/>
      <c r="V67" s="126"/>
      <c r="W67" s="113"/>
      <c r="X67" s="121"/>
      <c r="AJ67" s="3"/>
      <c r="AK67" s="3"/>
    </row>
    <row r="68" spans="1:37" ht="35" x14ac:dyDescent="0.35">
      <c r="A68" s="3"/>
      <c r="B68" s="122" t="s">
        <v>60</v>
      </c>
      <c r="C68" s="211">
        <f>V110</f>
        <v>4187752.3458570372</v>
      </c>
      <c r="D68" s="212"/>
      <c r="E68" s="129"/>
      <c r="F68" s="129"/>
      <c r="G68" s="27"/>
      <c r="H68" s="129"/>
      <c r="I68" s="3"/>
      <c r="J68" s="3"/>
      <c r="K68" s="3"/>
      <c r="L68" s="170" t="s">
        <v>133</v>
      </c>
      <c r="M68" s="133">
        <v>0</v>
      </c>
      <c r="N68" s="133">
        <v>0</v>
      </c>
      <c r="O68" s="133">
        <v>0</v>
      </c>
      <c r="P68" s="64">
        <f t="shared" ref="P68:P71" si="61">M68-N68</f>
        <v>0</v>
      </c>
      <c r="Q68" s="91">
        <f>IFERROR((M68-N68*POWER(O68,AC33)-(P68)),0)</f>
        <v>0</v>
      </c>
      <c r="R68" s="91">
        <f>Q68*1000</f>
        <v>0</v>
      </c>
      <c r="S68" s="119">
        <f>R68*$N$33*$M$33</f>
        <v>0</v>
      </c>
      <c r="T68" s="120">
        <f>S68+S69+S70+S71</f>
        <v>284001.79974411498</v>
      </c>
      <c r="U68" s="120">
        <f>T49</f>
        <v>31330.817062540995</v>
      </c>
      <c r="V68" s="120">
        <f>T68-U68</f>
        <v>252670.98268157398</v>
      </c>
      <c r="W68" s="113">
        <f>R68+R69+R70+R71</f>
        <v>355.00224968014373</v>
      </c>
      <c r="X68" s="63">
        <f>IF(OR(M33=0,M33=1),$V$68,IF(M33&lt;1,$V$68/M33,IF(M33&gt;1,$V$68/M33,0)))</f>
        <v>252670.98268157398</v>
      </c>
      <c r="AJ68" s="3"/>
      <c r="AK68" s="3"/>
    </row>
    <row r="69" spans="1:37" ht="46.5" customHeight="1" x14ac:dyDescent="0.35">
      <c r="A69" s="3"/>
      <c r="B69" s="129"/>
      <c r="C69" s="129"/>
      <c r="D69" s="129"/>
      <c r="E69" s="129"/>
      <c r="F69" s="129"/>
      <c r="G69" s="130"/>
      <c r="H69" s="145"/>
      <c r="I69" s="145"/>
      <c r="J69" s="131"/>
      <c r="K69" s="131"/>
      <c r="L69" s="170" t="s">
        <v>134</v>
      </c>
      <c r="M69" s="199">
        <v>1.589</v>
      </c>
      <c r="N69" s="199">
        <v>0.36199999999999999</v>
      </c>
      <c r="O69" s="199">
        <v>0.76</v>
      </c>
      <c r="P69" s="64">
        <f t="shared" si="61"/>
        <v>1.2269999999999999</v>
      </c>
      <c r="Q69" s="124">
        <f>IFERROR(((M69-N69*POWER(O69,AD33)-(P69))),0)</f>
        <v>0.22951146886778195</v>
      </c>
      <c r="R69" s="91">
        <f t="shared" ref="R69:R71" si="62">Q69*1000</f>
        <v>229.51146886778196</v>
      </c>
      <c r="S69" s="119">
        <f t="shared" ref="S69:S71" si="63">R69*$N$33*$M$33</f>
        <v>183609.17509422556</v>
      </c>
      <c r="T69" s="120"/>
      <c r="U69" s="120"/>
      <c r="V69" s="120"/>
      <c r="W69" s="113"/>
      <c r="X69" s="63"/>
      <c r="AJ69" s="131"/>
      <c r="AK69" s="131"/>
    </row>
    <row r="70" spans="1:37" ht="17.25" customHeight="1" x14ac:dyDescent="0.3">
      <c r="A70" s="3"/>
      <c r="B70" s="129"/>
      <c r="C70" s="129"/>
      <c r="D70" s="129"/>
      <c r="E70" s="129"/>
      <c r="F70" s="129"/>
      <c r="G70" s="130"/>
      <c r="H70" s="129"/>
      <c r="I70" s="3"/>
      <c r="J70" s="3"/>
      <c r="K70" s="3"/>
      <c r="L70" s="170" t="s">
        <v>135</v>
      </c>
      <c r="M70" s="199">
        <v>1.776</v>
      </c>
      <c r="N70" s="199">
        <v>0.10199999999999999</v>
      </c>
      <c r="O70" s="199">
        <v>0.63</v>
      </c>
      <c r="P70" s="64">
        <f t="shared" si="61"/>
        <v>1.6739999999999999</v>
      </c>
      <c r="Q70" s="91">
        <f>IFERROR(((M70-N70*POWER(O70,AE33)-(P70))),0)</f>
        <v>6.9778814097243735E-2</v>
      </c>
      <c r="R70" s="91">
        <f t="shared" si="62"/>
        <v>69.778814097243739</v>
      </c>
      <c r="S70" s="119">
        <f t="shared" si="63"/>
        <v>55823.051277794992</v>
      </c>
      <c r="T70" s="120"/>
      <c r="U70" s="120"/>
      <c r="V70" s="120"/>
      <c r="W70" s="113"/>
      <c r="X70" s="121"/>
      <c r="AJ70" s="3"/>
      <c r="AK70" s="3"/>
    </row>
    <row r="71" spans="1:37" ht="30" customHeight="1" x14ac:dyDescent="0.35">
      <c r="A71" s="3"/>
      <c r="B71" s="129"/>
      <c r="C71" s="129"/>
      <c r="D71" s="129"/>
      <c r="E71" s="129"/>
      <c r="F71" s="129"/>
      <c r="G71" s="130"/>
      <c r="H71" s="145"/>
      <c r="I71" s="145"/>
      <c r="J71" s="131"/>
      <c r="K71" s="131"/>
      <c r="L71" s="204" t="s">
        <v>150</v>
      </c>
      <c r="M71" s="205">
        <v>1.762</v>
      </c>
      <c r="N71" s="205">
        <v>6.8000000000000005E-2</v>
      </c>
      <c r="O71" s="205">
        <v>0.2</v>
      </c>
      <c r="P71" s="128">
        <f t="shared" si="61"/>
        <v>1.694</v>
      </c>
      <c r="Q71" s="91">
        <f>IFERROR((M71-N71*POWER(O71,AF33)-(P71)),0)</f>
        <v>5.5711966715118022E-2</v>
      </c>
      <c r="R71" s="91">
        <f t="shared" si="62"/>
        <v>55.711966715118024</v>
      </c>
      <c r="S71" s="119">
        <f t="shared" si="63"/>
        <v>44569.573372094419</v>
      </c>
      <c r="T71" s="120"/>
      <c r="U71" s="120"/>
      <c r="V71" s="120"/>
      <c r="W71" s="113"/>
      <c r="X71" s="63"/>
      <c r="AJ71" s="131"/>
      <c r="AK71" s="131"/>
    </row>
    <row r="72" spans="1:37" x14ac:dyDescent="0.3">
      <c r="A72" s="3"/>
      <c r="B72" s="129"/>
      <c r="C72" s="129"/>
      <c r="D72" s="129"/>
      <c r="E72" s="129"/>
      <c r="F72" s="129"/>
      <c r="G72" s="130"/>
      <c r="H72" s="3"/>
      <c r="I72" s="3"/>
      <c r="J72" s="3"/>
      <c r="K72" s="3"/>
      <c r="L72" s="170" t="s">
        <v>67</v>
      </c>
      <c r="M72" s="199">
        <v>2.4929999999999999</v>
      </c>
      <c r="N72" s="199">
        <v>1.601</v>
      </c>
      <c r="O72" s="199">
        <v>0.97199999999999998</v>
      </c>
      <c r="P72" s="128">
        <f t="shared" ref="P72:P75" si="64">M72-N72</f>
        <v>0.8919999999999999</v>
      </c>
      <c r="Q72" s="124">
        <f>IFERROR((M72-N72*POWER(O72,AC34)-(P72)),0)</f>
        <v>0.85685286311391451</v>
      </c>
      <c r="R72" s="91">
        <f t="shared" ref="R72:R75" si="65">Q72*1000</f>
        <v>856.85286311391451</v>
      </c>
      <c r="S72" s="119">
        <f>R72*$N$34*$M$34</f>
        <v>471269.074712653</v>
      </c>
      <c r="T72" s="120">
        <f>S72+S73+S74+S75</f>
        <v>1151170.4684862813</v>
      </c>
      <c r="U72" s="120">
        <f>T50</f>
        <v>106138.97992869752</v>
      </c>
      <c r="V72" s="120">
        <f>T72-U72</f>
        <v>1045031.4885575839</v>
      </c>
      <c r="W72" s="113">
        <f>R72+R73+R74+R75</f>
        <v>2093.0372154296024</v>
      </c>
      <c r="X72" s="63">
        <f>IF(OR(M34=0,M34=1),$V$72,IF(M34&lt;1,$V$72/M34,IF(M34&gt;1,$V$72/M34,0)))</f>
        <v>1045031.4885575839</v>
      </c>
      <c r="AJ72" s="3"/>
      <c r="AK72" s="3"/>
    </row>
    <row r="73" spans="1:37" ht="47.25" customHeight="1" x14ac:dyDescent="0.35">
      <c r="A73" s="3"/>
      <c r="B73" s="129"/>
      <c r="C73" s="129"/>
      <c r="D73" s="129"/>
      <c r="E73" s="145"/>
      <c r="F73" s="145"/>
      <c r="G73" s="145"/>
      <c r="H73" s="145"/>
      <c r="I73" s="145"/>
      <c r="J73" s="131"/>
      <c r="K73" s="131"/>
      <c r="L73" s="170" t="s">
        <v>68</v>
      </c>
      <c r="M73" s="198">
        <v>3.4240059270544134</v>
      </c>
      <c r="N73" s="198">
        <v>0.81400592705441355</v>
      </c>
      <c r="O73" s="198">
        <v>0.8</v>
      </c>
      <c r="P73" s="128">
        <f t="shared" si="64"/>
        <v>2.61</v>
      </c>
      <c r="Q73" s="124">
        <f>IFERROR(((M73-N73*POWER(O73,AD34)-(P73))),0)</f>
        <v>0.58075523536679929</v>
      </c>
      <c r="R73" s="124">
        <f t="shared" si="65"/>
        <v>580.7552353667993</v>
      </c>
      <c r="S73" s="119">
        <f t="shared" ref="S73:S75" si="66">R73*$N$34*$M$34</f>
        <v>319415.3794517396</v>
      </c>
      <c r="T73" s="126"/>
      <c r="U73" s="126"/>
      <c r="V73" s="126"/>
      <c r="W73" s="127"/>
      <c r="X73" s="132"/>
      <c r="AJ73" s="131"/>
      <c r="AK73" s="131"/>
    </row>
    <row r="74" spans="1:37" ht="18" customHeight="1" x14ac:dyDescent="0.3">
      <c r="A74" s="3"/>
      <c r="B74" s="129"/>
      <c r="C74" s="129"/>
      <c r="D74" s="129"/>
      <c r="E74" s="129"/>
      <c r="F74" s="129"/>
      <c r="G74" s="130"/>
      <c r="H74" s="3"/>
      <c r="I74" s="3"/>
      <c r="J74" s="3"/>
      <c r="K74" s="3"/>
      <c r="L74" s="170" t="s">
        <v>69</v>
      </c>
      <c r="M74" s="133">
        <v>0</v>
      </c>
      <c r="N74" s="133">
        <v>0</v>
      </c>
      <c r="O74" s="133">
        <v>0</v>
      </c>
      <c r="P74" s="128">
        <f t="shared" si="64"/>
        <v>0</v>
      </c>
      <c r="Q74" s="124">
        <f>IFERROR(((M74-N74*POWER(O74,AE34)-(P74))),0)</f>
        <v>0</v>
      </c>
      <c r="R74" s="124">
        <f t="shared" si="65"/>
        <v>0</v>
      </c>
      <c r="S74" s="119">
        <f t="shared" si="66"/>
        <v>0</v>
      </c>
      <c r="T74" s="126"/>
      <c r="U74" s="126"/>
      <c r="V74" s="126"/>
      <c r="W74" s="127"/>
      <c r="X74" s="132"/>
      <c r="AJ74" s="3"/>
      <c r="AK74" s="3"/>
    </row>
    <row r="75" spans="1:37" ht="15.75" customHeight="1" x14ac:dyDescent="0.3">
      <c r="A75" s="3"/>
      <c r="B75" s="206" t="s">
        <v>145</v>
      </c>
      <c r="C75" s="206"/>
      <c r="D75" s="206"/>
      <c r="E75" s="206"/>
      <c r="F75" s="206"/>
      <c r="G75" s="206"/>
      <c r="H75" s="206"/>
      <c r="I75" s="206"/>
      <c r="J75" s="3"/>
      <c r="K75" s="3"/>
      <c r="L75" s="117" t="s">
        <v>151</v>
      </c>
      <c r="M75" s="200">
        <v>3.72934375</v>
      </c>
      <c r="N75" s="200">
        <v>0.67934375000000014</v>
      </c>
      <c r="O75" s="200">
        <v>0.3</v>
      </c>
      <c r="P75" s="128">
        <f t="shared" si="64"/>
        <v>3.05</v>
      </c>
      <c r="Q75" s="124">
        <f>IFERROR((M75-N75*POWER(O75,AF34)-(P75)),0)</f>
        <v>0.65542911694888861</v>
      </c>
      <c r="R75" s="124">
        <f t="shared" si="65"/>
        <v>655.42911694888858</v>
      </c>
      <c r="S75" s="119">
        <f t="shared" si="66"/>
        <v>360486.01432188874</v>
      </c>
      <c r="T75" s="126"/>
      <c r="U75" s="126"/>
      <c r="V75" s="126"/>
      <c r="W75" s="127"/>
      <c r="X75" s="128"/>
      <c r="AJ75" s="3"/>
      <c r="AK75" s="3"/>
    </row>
    <row r="76" spans="1:37" ht="18.75" customHeight="1" x14ac:dyDescent="0.3">
      <c r="A76" s="3"/>
      <c r="B76" s="129"/>
      <c r="C76" s="129"/>
      <c r="D76" s="129"/>
      <c r="E76" s="129"/>
      <c r="F76" s="129"/>
      <c r="G76" s="3"/>
      <c r="H76" s="3"/>
      <c r="I76" s="3"/>
      <c r="J76" s="3"/>
      <c r="K76" s="3"/>
      <c r="L76" s="170" t="s">
        <v>70</v>
      </c>
      <c r="M76" s="199">
        <v>3.5129999999999999</v>
      </c>
      <c r="N76" s="199">
        <v>1.8080000000000001</v>
      </c>
      <c r="O76" s="199">
        <v>0.98099999999999998</v>
      </c>
      <c r="P76" s="128">
        <f t="shared" ref="P76:P78" si="67">M76-N76</f>
        <v>1.7049999999999998</v>
      </c>
      <c r="Q76" s="124">
        <f>IFERROR((M76-N76*POWER(O76,AC35)-(P76)),0)</f>
        <v>0.698367289436572</v>
      </c>
      <c r="R76" s="124">
        <f t="shared" ref="R76:R78" si="68">Q76*1000</f>
        <v>698.36728943657204</v>
      </c>
      <c r="S76" s="125">
        <f>R76*$N$35*$M$35</f>
        <v>384102.00919011462</v>
      </c>
      <c r="T76" s="126">
        <f>S76+S77+S78+S79</f>
        <v>1064116.2491625745</v>
      </c>
      <c r="U76" s="126">
        <f>T51</f>
        <v>102542.20990905777</v>
      </c>
      <c r="V76" s="126">
        <f>T76-U76</f>
        <v>961574.03925351682</v>
      </c>
      <c r="W76" s="113">
        <f>R76+R77+R78+R79</f>
        <v>1934.7568166592264</v>
      </c>
      <c r="X76" s="121">
        <f>IF(OR(M35=0,M35=1),$V$76,IF(M35&lt;1,$V$76/M35,IF(M35&gt;1,$V$76/M35,0)))</f>
        <v>961574.03925351682</v>
      </c>
      <c r="AJ76" s="3"/>
      <c r="AK76" s="3"/>
    </row>
    <row r="77" spans="1:37" ht="16.5" customHeight="1" x14ac:dyDescent="0.35">
      <c r="A77" s="3"/>
      <c r="B77" s="206" t="s">
        <v>146</v>
      </c>
      <c r="C77" s="206"/>
      <c r="D77" s="206"/>
      <c r="E77" s="206"/>
      <c r="F77" s="206"/>
      <c r="G77" s="206"/>
      <c r="H77" s="206"/>
      <c r="I77" s="206"/>
      <c r="J77" s="3"/>
      <c r="K77" s="3"/>
      <c r="L77" s="170" t="s">
        <v>71</v>
      </c>
      <c r="M77" s="198">
        <v>3.4240059270544134</v>
      </c>
      <c r="N77" s="198">
        <v>0.81400592705441355</v>
      </c>
      <c r="O77" s="198">
        <v>0.8</v>
      </c>
      <c r="P77" s="128">
        <f t="shared" si="67"/>
        <v>2.61</v>
      </c>
      <c r="Q77" s="124">
        <f>IFERROR(((M77-N77*POWER(O77,AD35)-(P77))),0)</f>
        <v>0.58087412966266561</v>
      </c>
      <c r="R77" s="124">
        <f t="shared" si="68"/>
        <v>580.87412966266561</v>
      </c>
      <c r="S77" s="125">
        <f t="shared" ref="S77:S79" si="69">R77*$N$35*$M$35</f>
        <v>319480.77131446608</v>
      </c>
      <c r="T77" s="126"/>
      <c r="U77" s="126"/>
      <c r="V77" s="126"/>
      <c r="W77" s="127"/>
      <c r="X77" s="132"/>
      <c r="AJ77" s="3"/>
      <c r="AK77" s="3"/>
    </row>
    <row r="78" spans="1:37" ht="21" customHeight="1" x14ac:dyDescent="0.3">
      <c r="A78" s="3"/>
      <c r="B78" s="129"/>
      <c r="C78" s="129"/>
      <c r="D78" s="129"/>
      <c r="E78" s="129"/>
      <c r="F78" s="129"/>
      <c r="G78" s="130"/>
      <c r="H78" s="3"/>
      <c r="I78" s="3"/>
      <c r="J78" s="3"/>
      <c r="K78" s="3"/>
      <c r="L78" s="170" t="s">
        <v>72</v>
      </c>
      <c r="M78" s="199">
        <v>0</v>
      </c>
      <c r="N78" s="199">
        <v>0</v>
      </c>
      <c r="O78" s="199">
        <v>0</v>
      </c>
      <c r="P78" s="64">
        <f t="shared" si="67"/>
        <v>0</v>
      </c>
      <c r="Q78" s="91">
        <f>IFERROR(((M78-N78*POWER(O78,AE35)-(P78))),0)</f>
        <v>0</v>
      </c>
      <c r="R78" s="91">
        <f t="shared" si="68"/>
        <v>0</v>
      </c>
      <c r="S78" s="125">
        <f t="shared" si="69"/>
        <v>0</v>
      </c>
      <c r="T78" s="64"/>
      <c r="U78" s="64"/>
      <c r="V78" s="64"/>
      <c r="W78" s="113"/>
      <c r="X78" s="121"/>
      <c r="AJ78" s="3"/>
      <c r="AK78" s="3"/>
    </row>
    <row r="79" spans="1:37" ht="21.75" customHeight="1" x14ac:dyDescent="0.3">
      <c r="B79" s="206" t="s">
        <v>147</v>
      </c>
      <c r="C79" s="206"/>
      <c r="D79" s="206"/>
      <c r="E79" s="206"/>
      <c r="F79" s="206"/>
      <c r="G79" s="206"/>
      <c r="H79" s="206"/>
      <c r="I79" s="206"/>
      <c r="L79" s="117" t="s">
        <v>152</v>
      </c>
      <c r="M79" s="200">
        <v>3.72934375</v>
      </c>
      <c r="N79" s="200">
        <v>0.67934375000000014</v>
      </c>
      <c r="O79" s="200">
        <v>0.3</v>
      </c>
      <c r="P79" s="64">
        <f>M79-N79</f>
        <v>3.05</v>
      </c>
      <c r="Q79" s="91">
        <f>IFERROR((M79-N79*POWER(O79,AF35)-(P79)),0)</f>
        <v>0.65551539755998878</v>
      </c>
      <c r="R79" s="91">
        <f>Q79*1000</f>
        <v>655.51539755998874</v>
      </c>
      <c r="S79" s="125">
        <f t="shared" si="69"/>
        <v>360533.46865799383</v>
      </c>
      <c r="T79" s="120"/>
      <c r="U79" s="120"/>
      <c r="V79" s="120"/>
      <c r="W79" s="113"/>
      <c r="X79" s="121"/>
    </row>
    <row r="80" spans="1:37" ht="14.5" x14ac:dyDescent="0.35">
      <c r="B80" s="129"/>
      <c r="C80" s="129"/>
      <c r="D80" s="129"/>
      <c r="E80" s="29"/>
      <c r="F80" s="29"/>
      <c r="G80" s="3"/>
      <c r="L80" s="169" t="s">
        <v>136</v>
      </c>
      <c r="M80">
        <v>5.1863520833333334</v>
      </c>
      <c r="N80">
        <v>1.1000000000000001</v>
      </c>
      <c r="O80">
        <v>0.96775</v>
      </c>
      <c r="P80" s="134">
        <f>M80-N80</f>
        <v>4.0863520833333329</v>
      </c>
      <c r="Q80" s="135">
        <f>IFERROR((M80-N80*POWER(O80,AC36)-(P80)),0)</f>
        <v>0.59322320556892194</v>
      </c>
      <c r="R80" s="135">
        <f>Q80*1000</f>
        <v>593.22320556892191</v>
      </c>
      <c r="S80" s="136">
        <f>R80*$N$36*$M$36</f>
        <v>415256.24389824533</v>
      </c>
      <c r="T80" s="137">
        <f>S80+S81+S82+S83</f>
        <v>1300916.9775891935</v>
      </c>
      <c r="U80" s="137">
        <f>T52</f>
        <v>130266.533623332</v>
      </c>
      <c r="V80" s="137">
        <f>T80-U80</f>
        <v>1170650.4439658616</v>
      </c>
      <c r="W80" s="138">
        <f>R80+R81+R82+R83</f>
        <v>1858.4528251274194</v>
      </c>
      <c r="X80" s="139">
        <f>IF(OR(M36=0,M36=1),$V$80,IF(M36&lt;1,$V$80/M36,IF(M36&gt;1,$V$80/M36,0)))</f>
        <v>1170650.4439658616</v>
      </c>
    </row>
    <row r="81" spans="2:24" ht="46.5" x14ac:dyDescent="0.35">
      <c r="B81" s="145" t="s">
        <v>38</v>
      </c>
      <c r="C81" s="145"/>
      <c r="D81" s="145"/>
      <c r="E81" s="21"/>
      <c r="F81" s="21"/>
      <c r="G81" s="21"/>
      <c r="L81" s="171" t="s">
        <v>137</v>
      </c>
      <c r="M81">
        <v>3.1400291666666664</v>
      </c>
      <c r="N81">
        <v>1.2025291666666664</v>
      </c>
      <c r="O81">
        <v>0.83650000000000002</v>
      </c>
      <c r="P81" s="68">
        <f t="shared" ref="P81" si="70">M81-N81</f>
        <v>1.9375</v>
      </c>
      <c r="Q81" s="140">
        <f>IFERROR(((M81-N81*POWER(O81,AD36)-(P81))),0)</f>
        <v>0.97561379246825553</v>
      </c>
      <c r="R81" s="140">
        <f t="shared" ref="R81:R83" si="71">Q81*1000</f>
        <v>975.6137924682555</v>
      </c>
      <c r="S81" s="136">
        <f t="shared" ref="S81:S83" si="72">R81*$N$36*$M$36</f>
        <v>682929.65472777886</v>
      </c>
      <c r="T81" s="68"/>
      <c r="U81" s="141"/>
      <c r="V81" s="141"/>
      <c r="W81" s="142"/>
      <c r="X81" s="68"/>
    </row>
    <row r="82" spans="2:24" ht="14.5" x14ac:dyDescent="0.35">
      <c r="B82" s="3"/>
      <c r="C82" s="3"/>
      <c r="D82" s="29"/>
      <c r="E82" s="21"/>
      <c r="F82" s="21"/>
      <c r="G82" s="21"/>
      <c r="L82" s="133" t="s">
        <v>138</v>
      </c>
      <c r="M82">
        <v>5.8475624999999996</v>
      </c>
      <c r="N82">
        <v>0.3834874999999997</v>
      </c>
      <c r="O82">
        <v>0.83724999999999994</v>
      </c>
      <c r="P82" s="68">
        <f>M82-N82</f>
        <v>5.4640750000000002</v>
      </c>
      <c r="Q82" s="68">
        <f>IFERROR(((M82-N82*POWER(O82,AE36)-(P82))),0)</f>
        <v>0.28961582709024203</v>
      </c>
      <c r="R82" s="140">
        <f t="shared" si="71"/>
        <v>289.61582709024202</v>
      </c>
      <c r="S82" s="136">
        <f t="shared" si="72"/>
        <v>202731.07896316942</v>
      </c>
      <c r="T82" s="68"/>
      <c r="U82" s="142"/>
      <c r="V82" s="142"/>
      <c r="W82" s="140"/>
      <c r="X82" s="68"/>
    </row>
    <row r="83" spans="2:24" x14ac:dyDescent="0.3">
      <c r="B83" s="21"/>
      <c r="C83" s="21"/>
      <c r="D83" s="21"/>
      <c r="L83" s="172" t="s">
        <v>153</v>
      </c>
      <c r="M83" s="133">
        <v>0</v>
      </c>
      <c r="N83" s="133">
        <v>0</v>
      </c>
      <c r="O83" s="133">
        <v>0</v>
      </c>
      <c r="P83" s="68">
        <f>M83-N83</f>
        <v>0</v>
      </c>
      <c r="Q83" s="68">
        <f>IFERROR((M83-N83*POWER(O83,AF36)-(P83)),0)</f>
        <v>0</v>
      </c>
      <c r="R83" s="140">
        <f t="shared" si="71"/>
        <v>0</v>
      </c>
      <c r="S83" s="136">
        <f t="shared" si="72"/>
        <v>0</v>
      </c>
      <c r="T83" s="68"/>
      <c r="U83" s="68"/>
      <c r="V83" s="68"/>
      <c r="W83" s="68"/>
      <c r="X83" s="68"/>
    </row>
    <row r="84" spans="2:24" x14ac:dyDescent="0.3">
      <c r="B84" s="29"/>
      <c r="C84" s="21"/>
      <c r="D84" s="21"/>
      <c r="L84" s="169" t="s">
        <v>139</v>
      </c>
      <c r="M84" s="200">
        <v>3.057518652133608</v>
      </c>
      <c r="N84" s="200">
        <v>0.73751865213360768</v>
      </c>
      <c r="O84" s="200">
        <v>0.96799999999999997</v>
      </c>
      <c r="P84" s="68">
        <f>M84-N84</f>
        <v>2.3200000000000003</v>
      </c>
      <c r="Q84" s="68">
        <f>IFERROR((M84-N84*POWER(O84,AC37)-(P84)),0)</f>
        <v>0.22364738458957412</v>
      </c>
      <c r="R84" s="140">
        <f t="shared" ref="R84:R86" si="73">Q84*1000</f>
        <v>223.64738458957413</v>
      </c>
      <c r="S84" s="68">
        <f>R84*$N$37*$M$37</f>
        <v>156553.16921270191</v>
      </c>
      <c r="T84" s="68">
        <f>S84+S85+S86+S87</f>
        <v>402748.41996889398</v>
      </c>
      <c r="U84" s="142">
        <f>T53</f>
        <v>63567.389983031273</v>
      </c>
      <c r="V84" s="68">
        <f>T84-U84</f>
        <v>339181.02998586273</v>
      </c>
      <c r="W84" s="140">
        <f>R84+R85+R86+R87</f>
        <v>575.35488566984861</v>
      </c>
      <c r="X84" s="68">
        <f>IF(OR(M37=0,M37=1),$V$84,IF(M37&lt;1,$V$84/M37,IF(M37&gt;1,$V$84/M37,0)))</f>
        <v>339181.02998586273</v>
      </c>
    </row>
    <row r="85" spans="2:24" x14ac:dyDescent="0.3">
      <c r="L85" s="171" t="s">
        <v>140</v>
      </c>
      <c r="M85" s="201">
        <v>3.165</v>
      </c>
      <c r="N85" s="201">
        <v>0.77</v>
      </c>
      <c r="O85" s="201">
        <v>0.90800000000000003</v>
      </c>
      <c r="P85" s="141">
        <f t="shared" ref="P85" si="74">M85-N85</f>
        <v>2.395</v>
      </c>
      <c r="Q85" s="141">
        <f>IFERROR(((M85-N85*POWER(O85,AD37)-(P85))),0)</f>
        <v>0.3470836455141213</v>
      </c>
      <c r="R85" s="141">
        <f t="shared" si="73"/>
        <v>347.08364551412132</v>
      </c>
      <c r="S85" s="68">
        <f>R85*$N$37*$M$37</f>
        <v>242958.55185988493</v>
      </c>
      <c r="T85" s="141"/>
      <c r="U85" s="141"/>
      <c r="V85" s="141"/>
      <c r="W85" s="141"/>
      <c r="X85" s="141"/>
    </row>
    <row r="86" spans="2:24" x14ac:dyDescent="0.3">
      <c r="L86" s="172" t="s">
        <v>141</v>
      </c>
      <c r="M86" s="199">
        <v>2.5</v>
      </c>
      <c r="N86" s="199">
        <v>0.3</v>
      </c>
      <c r="O86" s="199">
        <v>0.94499999999999995</v>
      </c>
      <c r="P86" s="68">
        <f>M86-N86</f>
        <v>2.2000000000000002</v>
      </c>
      <c r="Q86" s="68">
        <f>IFERROR(((M86-N86*POWER(O86,AE37)-(P86))),0)</f>
        <v>4.6238555661530789E-3</v>
      </c>
      <c r="R86" s="140">
        <f t="shared" si="73"/>
        <v>4.6238555661530789</v>
      </c>
      <c r="S86" s="68">
        <f>R86*$N$37*$M$37</f>
        <v>3236.6988963071553</v>
      </c>
      <c r="T86" s="143"/>
      <c r="U86" s="143"/>
      <c r="V86" s="143"/>
      <c r="W86" s="142"/>
      <c r="X86" s="142"/>
    </row>
    <row r="87" spans="2:24" x14ac:dyDescent="0.3">
      <c r="L87" s="172" t="s">
        <v>154</v>
      </c>
      <c r="M87" s="133">
        <v>0</v>
      </c>
      <c r="N87" s="133">
        <v>0</v>
      </c>
      <c r="O87" s="133">
        <v>0</v>
      </c>
      <c r="P87" s="68">
        <f>M87-N87</f>
        <v>0</v>
      </c>
      <c r="Q87" s="68">
        <f>IFERROR(((M87-N87*POWER(O87,AF37)-(P87))),0)</f>
        <v>0</v>
      </c>
      <c r="R87" s="140">
        <f>Q87*1000</f>
        <v>0</v>
      </c>
      <c r="S87" s="68">
        <f>R87*$N$37*$M$37</f>
        <v>0</v>
      </c>
      <c r="T87" s="143"/>
      <c r="U87" s="143"/>
      <c r="V87" s="143"/>
      <c r="W87" s="142"/>
      <c r="X87" s="142"/>
    </row>
    <row r="88" spans="2:24" ht="14.5" x14ac:dyDescent="0.35">
      <c r="I88" s="4" t="s">
        <v>33</v>
      </c>
      <c r="L88" s="133" t="s">
        <v>142</v>
      </c>
      <c r="M88" s="198">
        <v>2.1249776309766908</v>
      </c>
      <c r="N88" s="198">
        <v>0.80947763097669068</v>
      </c>
      <c r="O88" s="198">
        <v>0.97099999999999997</v>
      </c>
      <c r="P88" s="68">
        <f>M88-N88</f>
        <v>1.3155000000000001</v>
      </c>
      <c r="Q88" s="68">
        <f>IFERROR(((M88-N88*POWER(O88,AC38)-(P88))),0)</f>
        <v>9.4143781148032346E-2</v>
      </c>
      <c r="R88" s="140">
        <f>Q88*1000</f>
        <v>94.143781148032346</v>
      </c>
      <c r="S88" s="68">
        <f>R88*$N$38*$M$38</f>
        <v>51779.079631417793</v>
      </c>
      <c r="T88" s="143">
        <f>S88+S89+S90+S91</f>
        <v>133512.80132516043</v>
      </c>
      <c r="U88" s="143">
        <f>T54</f>
        <v>22327.331814085475</v>
      </c>
      <c r="V88" s="143">
        <f>T88-U88</f>
        <v>111185.46951107495</v>
      </c>
      <c r="W88" s="142">
        <f>R88+R89+R90+R91</f>
        <v>242.75054786392803</v>
      </c>
      <c r="X88" s="142">
        <f>IF(OR(M38=0,M38=1),$V$88,IF(M38&lt;1,$V$88/M38,IF(M38&gt;1,$V$88/M38,0)))</f>
        <v>111185.46951107495</v>
      </c>
    </row>
    <row r="89" spans="2:24" x14ac:dyDescent="0.3">
      <c r="L89" s="133" t="s">
        <v>143</v>
      </c>
      <c r="M89" s="166">
        <v>2.5374999999999996</v>
      </c>
      <c r="N89" s="166">
        <v>0.48700000000000004</v>
      </c>
      <c r="O89" s="166">
        <v>0.88</v>
      </c>
      <c r="P89" s="68">
        <f t="shared" ref="P89:P90" si="75">M89-N89</f>
        <v>2.0504999999999995</v>
      </c>
      <c r="Q89" s="68">
        <f>IFERROR(((M89-N89*POWER(O89,AD38)-(P89))),0)</f>
        <v>8.3605544809803423E-2</v>
      </c>
      <c r="R89" s="140">
        <f t="shared" ref="R89:R99" si="76">Q89*1000</f>
        <v>83.605544809803419</v>
      </c>
      <c r="S89" s="68">
        <f t="shared" ref="S89" si="77">R89*$N$38*$M$38</f>
        <v>45983.049645391882</v>
      </c>
      <c r="T89" s="141"/>
      <c r="U89" s="141"/>
      <c r="V89" s="141"/>
      <c r="W89" s="141"/>
      <c r="X89" s="141"/>
    </row>
    <row r="90" spans="2:24" x14ac:dyDescent="0.3">
      <c r="L90" s="172" t="s">
        <v>144</v>
      </c>
      <c r="M90" s="166">
        <v>2.5346000000000002</v>
      </c>
      <c r="N90" s="166">
        <v>0.12679999999999997</v>
      </c>
      <c r="O90" s="166">
        <v>0.87</v>
      </c>
      <c r="P90" s="68">
        <f t="shared" si="75"/>
        <v>2.4078000000000004</v>
      </c>
      <c r="Q90" s="68">
        <f>IFERROR(((M90-N90*POWER(O90,AE38)-(P90))),0)</f>
        <v>0</v>
      </c>
      <c r="R90" s="140">
        <f t="shared" si="76"/>
        <v>0</v>
      </c>
      <c r="S90" s="68">
        <f>R90*$N$38*$M$38</f>
        <v>0</v>
      </c>
      <c r="T90" s="141"/>
      <c r="U90" s="141"/>
      <c r="V90" s="141"/>
      <c r="W90" s="144"/>
      <c r="X90" s="141"/>
    </row>
    <row r="91" spans="2:24" ht="14.5" x14ac:dyDescent="0.35">
      <c r="L91" s="117" t="s">
        <v>155</v>
      </c>
      <c r="M91" s="198">
        <v>4.2884608218310305</v>
      </c>
      <c r="N91" s="198">
        <v>9.1210821831030131E-2</v>
      </c>
      <c r="O91" s="198">
        <v>0.33500000000000002</v>
      </c>
      <c r="P91" s="64">
        <f>M91-N91</f>
        <v>4.1972500000000004</v>
      </c>
      <c r="Q91" s="68">
        <f>IFERROR(((M91-N91*POWER(O91,AF38)-(P91))),0)</f>
        <v>6.5001221906092255E-2</v>
      </c>
      <c r="R91" s="91">
        <f t="shared" si="76"/>
        <v>65.001221906092255</v>
      </c>
      <c r="S91" s="68">
        <f>R91*$N$38*$M$38</f>
        <v>35750.672048350738</v>
      </c>
      <c r="T91" s="64"/>
      <c r="U91" s="64"/>
      <c r="V91" s="64"/>
      <c r="W91" s="63"/>
      <c r="X91" s="63"/>
    </row>
    <row r="92" spans="2:24" ht="14.5" x14ac:dyDescent="0.35">
      <c r="L92" s="133" t="str">
        <f>$B$23&amp;" "&amp;C27</f>
        <v>Cowpea N</v>
      </c>
      <c r="M92" s="157">
        <f>M68-0.319+0.586*N36/N33</f>
        <v>0.19375000000000003</v>
      </c>
      <c r="N92" s="157">
        <f>N68+0.078+0.021*N36/N33</f>
        <v>9.6375000000000002E-2</v>
      </c>
      <c r="O92" s="157">
        <v>0.9</v>
      </c>
      <c r="P92" s="118">
        <f>M92-N92</f>
        <v>9.7375000000000031E-2</v>
      </c>
      <c r="Q92" s="68">
        <f>IFERROR(((M92-N92*POWER(O92,AC39)-(P92))),0)</f>
        <v>0</v>
      </c>
      <c r="R92" s="91">
        <f t="shared" si="76"/>
        <v>0</v>
      </c>
      <c r="S92" s="68">
        <f>R92*$N$39*$M$39</f>
        <v>0</v>
      </c>
      <c r="T92" s="143">
        <f>S92+S93+S94+S95</f>
        <v>8872.4619108518145</v>
      </c>
      <c r="U92" s="113">
        <f>T55</f>
        <v>1800.3656604778148</v>
      </c>
      <c r="V92" s="143">
        <f>T92-U92</f>
        <v>7072.0962503739993</v>
      </c>
      <c r="W92" s="142">
        <f>R92+R93+R94+R95</f>
        <v>13.649941401310484</v>
      </c>
      <c r="X92" s="142">
        <f>IF(OR(M39=0,M39=1),$V$92,IF(M39&lt;1,$V$92/M39,IF(M39&gt;1,$V$92/M39,0)))</f>
        <v>7072.0962503739993</v>
      </c>
    </row>
    <row r="93" spans="2:24" ht="14.5" x14ac:dyDescent="0.35">
      <c r="L93" s="133" t="str">
        <f>$B$23&amp;" "&amp;D27</f>
        <v>Cowpea P2O5</v>
      </c>
      <c r="M93" s="157">
        <f>M69-0.001+0.38*$N$36/$N$33</f>
        <v>1.9205000000000001</v>
      </c>
      <c r="N93" s="157">
        <f>N69-0.016+0.065*$N$36/$N$33</f>
        <v>0.40287499999999998</v>
      </c>
      <c r="O93" s="157">
        <v>0.89200000000000002</v>
      </c>
      <c r="P93" s="64">
        <f t="shared" ref="P93:P99" si="78">M93-N93</f>
        <v>1.5176250000000002</v>
      </c>
      <c r="Q93" s="68">
        <f>IFERROR(((M93-N93*POWER(O93,AD39)-(P93))),0)</f>
        <v>1.3649941401310484E-2</v>
      </c>
      <c r="R93" s="91">
        <f t="shared" si="76"/>
        <v>13.649941401310484</v>
      </c>
      <c r="S93" s="68">
        <f t="shared" ref="S93:S95" si="79">R93*$N$39*$M$39</f>
        <v>8872.4619108518145</v>
      </c>
      <c r="T93" s="64"/>
      <c r="U93" s="64"/>
      <c r="V93" s="64"/>
      <c r="W93" s="63"/>
      <c r="X93" s="63"/>
    </row>
    <row r="94" spans="2:24" ht="14.5" x14ac:dyDescent="0.35">
      <c r="L94" s="133" t="str">
        <f>$B$23&amp;" "&amp;E27</f>
        <v>Cowpea K20</v>
      </c>
      <c r="M94" s="157">
        <v>0</v>
      </c>
      <c r="N94" s="157">
        <v>0</v>
      </c>
      <c r="O94" s="157">
        <v>0</v>
      </c>
      <c r="P94" s="64">
        <f t="shared" si="78"/>
        <v>0</v>
      </c>
      <c r="Q94" s="68">
        <f>IFERROR(((M94-N94*POWER(O94,AE39)-(P94))),0)</f>
        <v>0</v>
      </c>
      <c r="R94" s="91">
        <f t="shared" si="76"/>
        <v>0</v>
      </c>
      <c r="S94" s="68">
        <f t="shared" si="79"/>
        <v>0</v>
      </c>
      <c r="T94" s="64"/>
      <c r="U94" s="64"/>
      <c r="V94" s="64"/>
      <c r="W94" s="63"/>
      <c r="X94" s="63"/>
    </row>
    <row r="95" spans="2:24" x14ac:dyDescent="0.3">
      <c r="L95" s="133" t="str">
        <f>$B$23&amp;" "&amp;F27</f>
        <v>Cowpea ZnS</v>
      </c>
      <c r="M95" s="158">
        <v>0</v>
      </c>
      <c r="N95" s="158">
        <v>0</v>
      </c>
      <c r="O95" s="158">
        <v>0</v>
      </c>
      <c r="P95" s="64">
        <f t="shared" si="78"/>
        <v>0</v>
      </c>
      <c r="Q95" s="68">
        <f>IFERROR(((M95-N95*POWER(O95,AF39)-(P95))),0)</f>
        <v>0</v>
      </c>
      <c r="R95" s="91">
        <f t="shared" si="76"/>
        <v>0</v>
      </c>
      <c r="S95" s="68">
        <f t="shared" si="79"/>
        <v>0</v>
      </c>
      <c r="T95" s="64"/>
      <c r="U95" s="64"/>
      <c r="V95" s="64"/>
      <c r="W95" s="63"/>
      <c r="X95" s="63"/>
    </row>
    <row r="96" spans="2:24" ht="14.5" x14ac:dyDescent="0.35">
      <c r="L96" s="133" t="str">
        <f>$B$24&amp;" "&amp;C27</f>
        <v>Sorghum groundnut intercrop N</v>
      </c>
      <c r="M96" s="157">
        <f>M88-0.989+1.31*N33/N38</f>
        <v>3.0414321764312362</v>
      </c>
      <c r="N96" s="157">
        <f>N88-0.825+0.434*N33/N38</f>
        <v>0.61575035824941793</v>
      </c>
      <c r="O96" s="157">
        <f>O88+0.002</f>
        <v>0.97299999999999998</v>
      </c>
      <c r="P96" s="64">
        <f t="shared" si="78"/>
        <v>2.4256818181818183</v>
      </c>
      <c r="Q96" s="68">
        <f>IFERROR(((M96-N96*POWER(O96,AC40)-(P96))),0)</f>
        <v>0</v>
      </c>
      <c r="R96" s="91">
        <f t="shared" si="76"/>
        <v>0</v>
      </c>
      <c r="S96" s="68">
        <f>R96*$N$40*$M$40</f>
        <v>0</v>
      </c>
      <c r="T96" s="143">
        <f>S96+S97+S98+S99</f>
        <v>145875.52565106688</v>
      </c>
      <c r="U96" s="113">
        <f>T56</f>
        <v>24562.194116473645</v>
      </c>
      <c r="V96" s="143">
        <f>T96-U96</f>
        <v>121313.33153459324</v>
      </c>
      <c r="W96" s="142">
        <f>R96+R97+R98+R99</f>
        <v>291.75105130213376</v>
      </c>
      <c r="X96" s="142">
        <f>IF(OR(M40=0,M40=1),$V$96,IF(M40&lt;1,$V$96/M40,IF(M40&gt;1,$V$96/M40,0)))</f>
        <v>121313.33153459324</v>
      </c>
    </row>
    <row r="97" spans="11:24" ht="14.5" x14ac:dyDescent="0.35">
      <c r="L97" s="133" t="str">
        <f>$B$24&amp;" "&amp;D27</f>
        <v>Sorghum groundnut intercrop P2O5</v>
      </c>
      <c r="M97" s="157">
        <f>M89-0.484+1.31*N33/N38</f>
        <v>3.9589545454545449</v>
      </c>
      <c r="N97" s="157">
        <f>N89+0.434-0.017*N33/N38</f>
        <v>0.89627272727272733</v>
      </c>
      <c r="O97" s="157">
        <f>O89+0.004+0.017*N33/N38</f>
        <v>0.90872727272727272</v>
      </c>
      <c r="P97" s="64">
        <f t="shared" si="78"/>
        <v>3.0626818181818178</v>
      </c>
      <c r="Q97" s="68">
        <f>IFERROR(((M97-N97*POWER(O97,AD40)-(P97))),0)</f>
        <v>0.29175105130213375</v>
      </c>
      <c r="R97" s="91">
        <f t="shared" si="76"/>
        <v>291.75105130213376</v>
      </c>
      <c r="S97" s="68">
        <f t="shared" ref="S97:S99" si="80">R97*$N$40*$M$40</f>
        <v>145875.52565106688</v>
      </c>
      <c r="T97" s="64"/>
      <c r="U97" s="64"/>
      <c r="V97" s="64"/>
      <c r="W97" s="63"/>
      <c r="X97" s="63"/>
    </row>
    <row r="98" spans="11:24" ht="14.5" customHeight="1" x14ac:dyDescent="0.35">
      <c r="L98" s="133" t="str">
        <f>$B$24&amp;" "&amp;E27</f>
        <v>Sorghum groundnut intercrop K20</v>
      </c>
      <c r="M98" s="157">
        <v>0</v>
      </c>
      <c r="N98" s="157">
        <v>0</v>
      </c>
      <c r="O98" s="157">
        <v>0</v>
      </c>
      <c r="P98" s="64">
        <f t="shared" si="78"/>
        <v>0</v>
      </c>
      <c r="Q98" s="68">
        <f>IFERROR(((M98-N98*POWER(O98,AE40)-(P98))),0)</f>
        <v>0</v>
      </c>
      <c r="R98" s="91">
        <f t="shared" si="76"/>
        <v>0</v>
      </c>
      <c r="S98" s="68">
        <f t="shared" si="80"/>
        <v>0</v>
      </c>
      <c r="T98" s="64"/>
      <c r="U98" s="64"/>
      <c r="V98" s="64"/>
      <c r="W98" s="63"/>
      <c r="X98" s="63"/>
    </row>
    <row r="99" spans="11:24" x14ac:dyDescent="0.3">
      <c r="L99" s="133" t="str">
        <f>$B$24&amp;" "&amp;F27</f>
        <v>Sorghum groundnut intercrop ZnS</v>
      </c>
      <c r="M99" s="158">
        <v>0</v>
      </c>
      <c r="N99" s="158">
        <v>0</v>
      </c>
      <c r="O99" s="158">
        <v>0</v>
      </c>
      <c r="P99" s="64">
        <f t="shared" si="78"/>
        <v>0</v>
      </c>
      <c r="Q99" s="68">
        <f>IFERROR(((M99-N99*POWER(O99,AF40)-(P99))),0)</f>
        <v>0</v>
      </c>
      <c r="R99" s="91">
        <f t="shared" si="76"/>
        <v>0</v>
      </c>
      <c r="S99" s="68">
        <f t="shared" si="80"/>
        <v>0</v>
      </c>
      <c r="T99" s="64"/>
      <c r="U99" s="64"/>
      <c r="V99" s="64"/>
      <c r="W99" s="63"/>
      <c r="X99" s="63"/>
    </row>
    <row r="100" spans="11:24" x14ac:dyDescent="0.3">
      <c r="L100" s="63"/>
      <c r="M100" s="63"/>
      <c r="N100" s="63"/>
      <c r="O100" s="63"/>
      <c r="P100" s="63"/>
      <c r="Q100" s="63"/>
      <c r="R100" s="63"/>
      <c r="S100" s="64"/>
      <c r="T100" s="64"/>
      <c r="U100" s="64"/>
      <c r="V100" s="64"/>
      <c r="W100" s="63"/>
      <c r="X100" s="63"/>
    </row>
    <row r="101" spans="11:24" x14ac:dyDescent="0.3">
      <c r="T101" s="40"/>
      <c r="U101" s="40"/>
      <c r="V101" s="40"/>
    </row>
    <row r="104" spans="11:24" x14ac:dyDescent="0.3">
      <c r="K104" s="156"/>
      <c r="L104" s="4" t="s">
        <v>64</v>
      </c>
    </row>
    <row r="108" spans="11:24" x14ac:dyDescent="0.3">
      <c r="T108" s="64" t="s">
        <v>99</v>
      </c>
      <c r="U108" s="64"/>
      <c r="V108" s="64"/>
    </row>
    <row r="109" spans="11:24" x14ac:dyDescent="0.3">
      <c r="T109" s="64" t="s">
        <v>100</v>
      </c>
      <c r="U109" s="64" t="s">
        <v>101</v>
      </c>
      <c r="V109" s="64" t="s">
        <v>102</v>
      </c>
    </row>
    <row r="110" spans="11:24" x14ac:dyDescent="0.3">
      <c r="T110" s="120">
        <f>SUM(T64:T99)</f>
        <v>4687752.3458570363</v>
      </c>
      <c r="U110" s="120">
        <f>SUM(U64:U99)</f>
        <v>500000.00000000012</v>
      </c>
      <c r="V110" s="120">
        <f>SUM(V64:V96)</f>
        <v>4187752.3458570372</v>
      </c>
    </row>
  </sheetData>
  <sheetProtection password="C75C" sheet="1" objects="1" scenarios="1"/>
  <protectedRanges>
    <protectedRange password="C75C" sqref="D22" name="Range1"/>
  </protectedRanges>
  <mergeCells count="27">
    <mergeCell ref="C10:D10"/>
    <mergeCell ref="C12:D12"/>
    <mergeCell ref="C11:D11"/>
    <mergeCell ref="B26:G26"/>
    <mergeCell ref="W52:X52"/>
    <mergeCell ref="N46:U46"/>
    <mergeCell ref="B14:D14"/>
    <mergeCell ref="B35:C35"/>
    <mergeCell ref="B37:C37"/>
    <mergeCell ref="B43:G43"/>
    <mergeCell ref="U48:U54"/>
    <mergeCell ref="C44:G44"/>
    <mergeCell ref="N16:X16"/>
    <mergeCell ref="AC30:AF30"/>
    <mergeCell ref="S62:V62"/>
    <mergeCell ref="W62:X62"/>
    <mergeCell ref="L62:R62"/>
    <mergeCell ref="B67:D67"/>
    <mergeCell ref="O30:S30"/>
    <mergeCell ref="L30:N30"/>
    <mergeCell ref="B56:D56"/>
    <mergeCell ref="B75:I75"/>
    <mergeCell ref="B77:I77"/>
    <mergeCell ref="B79:I79"/>
    <mergeCell ref="Y16:AB16"/>
    <mergeCell ref="T30:AB30"/>
    <mergeCell ref="C68:D68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88900</xdr:rowOff>
                  </from>
                  <to>
                    <xdr:col>1</xdr:col>
                    <xdr:colOff>1657350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95250</xdr:rowOff>
                  </from>
                  <to>
                    <xdr:col>1</xdr:col>
                    <xdr:colOff>1657350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2" ma:contentTypeDescription="Create a new document." ma:contentTypeScope="" ma:versionID="af8b749fbbfb44c4313a49ee535f1c0c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cab561d95fc0cc5e6fca82eec514716d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B24D49-2521-4552-8C6D-B04B2A6CD7F9}">
  <ds:schemaRefs>
    <ds:schemaRef ds:uri="http://schemas.openxmlformats.org/package/2006/metadata/core-properties"/>
    <ds:schemaRef ds:uri="http://schemas.microsoft.com/office/2006/metadata/properties"/>
    <ds:schemaRef ds:uri="cfcaa660-3182-4f27-8fa7-16736e9283fd"/>
    <ds:schemaRef ds:uri="http://purl.org/dc/dcmitype/"/>
    <ds:schemaRef ds:uri="6a2a5ef5-46a6-42c7-b9b9-d957781a302b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40C8924-6882-44A2-B707-928150F463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4737F4-CCA2-4A77-91CF-53D8F925F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2026-01-23T14:18:49Z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