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ifdc-my.sharepoint.com/personal/msmith_ifdc_org/Documents/Documents/OFRA Documents/Excel fertilizer optimization tools/Tanzania FOT/Tanzania FOT/New folder/"/>
    </mc:Choice>
  </mc:AlternateContent>
  <xr:revisionPtr revIDLastSave="0" documentId="8_{540086A1-E3B0-48C5-813A-33BA8AEE00B7}" xr6:coauthVersionLast="47" xr6:coauthVersionMax="47" xr10:uidLastSave="{00000000-0000-0000-0000-000000000000}"/>
  <workbookProtection workbookPassword="C75C" lockStructure="1"/>
  <bookViews>
    <workbookView xWindow="37320" yWindow="-120" windowWidth="29040" windowHeight="15720" activeTab="1" xr2:uid="{00000000-000D-0000-FFFF-FFFF00000000}"/>
  </bookViews>
  <sheets>
    <sheet name="Help and Instructions" sheetId="4" r:id="rId1"/>
    <sheet name="Fertilizer Optimization" sheetId="2" r:id="rId2"/>
  </sheets>
  <definedNames>
    <definedName name="Output">'Fertilizer Optimization'!$B$1:$I$78</definedName>
    <definedName name="solver_adj" localSheetId="1" hidden="1">'Fertilizer Optimization'!$O$32:$S$38</definedName>
    <definedName name="solver_cvg" localSheetId="1" hidden="1">0.0001</definedName>
    <definedName name="solver_drv" localSheetId="1" hidden="1">1</definedName>
    <definedName name="solver_eng" localSheetId="1" hidden="1">1</definedName>
    <definedName name="solver_est" localSheetId="1" hidden="1">1</definedName>
    <definedName name="solver_itr" localSheetId="1" hidden="1">100</definedName>
    <definedName name="solver_lhs1" localSheetId="1" hidden="1">'Fertilizer Optimization'!$O$32:$S$38</definedName>
    <definedName name="solver_lhs10" localSheetId="1" hidden="1">'Fertilizer Optimization'!$O$32:$R$38</definedName>
    <definedName name="solver_lhs11" localSheetId="1" hidden="1">'Fertilizer Optimization'!$T$89:$V$89</definedName>
    <definedName name="solver_lhs12" localSheetId="1" hidden="1">'Fertilizer Optimization'!$T$52</definedName>
    <definedName name="solver_lhs13" localSheetId="1" hidden="1">'Fertilizer Optimization'!$O$32:$R$38</definedName>
    <definedName name="solver_lhs14" localSheetId="1" hidden="1">'Fertilizer Optimization'!$O$32:$R$38</definedName>
    <definedName name="solver_lhs15" localSheetId="1" hidden="1">'Fertilizer Optimization'!$T$89:$V$89</definedName>
    <definedName name="solver_lhs16" localSheetId="1" hidden="1">'Fertilizer Optimization'!$T$52</definedName>
    <definedName name="solver_lhs17" localSheetId="1" hidden="1">'Fertilizer Optimization'!$O$32:$R$38</definedName>
    <definedName name="solver_lhs18" localSheetId="1" hidden="1">'Fertilizer Optimization'!$O$32:$R$38</definedName>
    <definedName name="solver_lhs19" localSheetId="1" hidden="1">'Fertilizer Optimization'!$T$89:$V$89</definedName>
    <definedName name="solver_lhs2" localSheetId="1" hidden="1">'Fertilizer Optimization'!$O$32:$S$38</definedName>
    <definedName name="solver_lhs20" localSheetId="1" hidden="1">'Fertilizer Optimization'!$T$52</definedName>
    <definedName name="solver_lhs21" localSheetId="1" hidden="1">'Fertilizer Optimization'!$P$34</definedName>
    <definedName name="solver_lhs22" localSheetId="1" hidden="1">'Fertilizer Optimization'!$P$33</definedName>
    <definedName name="solver_lhs23" localSheetId="1" hidden="1">'Fertilizer Optimization'!$P$32</definedName>
    <definedName name="solver_lhs24" localSheetId="1" hidden="1">'Fertilizer Optimization'!$Q$37</definedName>
    <definedName name="solver_lhs25" localSheetId="1" hidden="1">'Fertilizer Optimization'!$Q$36</definedName>
    <definedName name="solver_lhs26" localSheetId="1" hidden="1">'Fertilizer Optimization'!$M$38</definedName>
    <definedName name="solver_lhs3" localSheetId="1" hidden="1">'Fertilizer Optimization'!$AC$32:$AF$38</definedName>
    <definedName name="solver_lhs4" localSheetId="1" hidden="1">'Fertilizer Optimization'!$T$53</definedName>
    <definedName name="solver_lhs5" localSheetId="1" hidden="1">'Fertilizer Optimization'!$O$30:$R$35</definedName>
    <definedName name="solver_lhs6" localSheetId="1" hidden="1">'Fertilizer Optimization'!$O$30:$R$35</definedName>
    <definedName name="solver_lhs7" localSheetId="1" hidden="1">'Fertilizer Optimization'!$T$87:$V$87</definedName>
    <definedName name="solver_lhs8" localSheetId="1" hidden="1">'Fertilizer Optimization'!$U$50</definedName>
    <definedName name="solver_lhs9" localSheetId="1" hidden="1">'Fertilizer Optimization'!$O$32:$R$38</definedName>
    <definedName name="solver_lin" localSheetId="1" hidden="1">2</definedName>
    <definedName name="solver_mip" localSheetId="1" hidden="1">2147483647</definedName>
    <definedName name="solver_mni" localSheetId="1" hidden="1">30</definedName>
    <definedName name="solver_mrt" localSheetId="1" hidden="1">0.075</definedName>
    <definedName name="solver_msl" localSheetId="1" hidden="1">2</definedName>
    <definedName name="solver_neg" localSheetId="1" hidden="1">1</definedName>
    <definedName name="solver_nod" localSheetId="1" hidden="1">2147483647</definedName>
    <definedName name="solver_num" localSheetId="1" hidden="1">4</definedName>
    <definedName name="solver_nwt" localSheetId="1" hidden="1">1</definedName>
    <definedName name="solver_opt" localSheetId="1" hidden="1">'Fertilizer Optimization'!$V$98</definedName>
    <definedName name="solver_pre" localSheetId="1" hidden="1">0.000001</definedName>
    <definedName name="solver_rbv" localSheetId="1" hidden="1">1</definedName>
    <definedName name="solver_rel1" localSheetId="1" hidden="1">3</definedName>
    <definedName name="solver_rel10" localSheetId="1" hidden="1">1</definedName>
    <definedName name="solver_rel11" localSheetId="1" hidden="1">3</definedName>
    <definedName name="solver_rel12" localSheetId="1" hidden="1">1</definedName>
    <definedName name="solver_rel13" localSheetId="1" hidden="1">3</definedName>
    <definedName name="solver_rel14" localSheetId="1" hidden="1">1</definedName>
    <definedName name="solver_rel15" localSheetId="1" hidden="1">3</definedName>
    <definedName name="solver_rel16" localSheetId="1" hidden="1">1</definedName>
    <definedName name="solver_rel17" localSheetId="1" hidden="1">3</definedName>
    <definedName name="solver_rel18" localSheetId="1" hidden="1">1</definedName>
    <definedName name="solver_rel19" localSheetId="1" hidden="1">3</definedName>
    <definedName name="solver_rel2" localSheetId="1" hidden="1">1</definedName>
    <definedName name="solver_rel20" localSheetId="1" hidden="1">1</definedName>
    <definedName name="solver_rel21" localSheetId="1" hidden="1">4</definedName>
    <definedName name="solver_rel22" localSheetId="1" hidden="1">4</definedName>
    <definedName name="solver_rel23" localSheetId="1" hidden="1">4</definedName>
    <definedName name="solver_rel24" localSheetId="1" hidden="1">4</definedName>
    <definedName name="solver_rel25" localSheetId="1" hidden="1">4</definedName>
    <definedName name="solver_rel26" localSheetId="1" hidden="1">1</definedName>
    <definedName name="solver_rel3" localSheetId="1" hidden="1">1</definedName>
    <definedName name="solver_rel4" localSheetId="1" hidden="1">1</definedName>
    <definedName name="solver_rel5" localSheetId="1" hidden="1">3</definedName>
    <definedName name="solver_rel6" localSheetId="1" hidden="1">1</definedName>
    <definedName name="solver_rel7" localSheetId="1" hidden="1">3</definedName>
    <definedName name="solver_rel8" localSheetId="1" hidden="1">1</definedName>
    <definedName name="solver_rel9" localSheetId="1" hidden="1">3</definedName>
    <definedName name="solver_rhs1" localSheetId="1" hidden="1">'Fertilizer Optimization'!$O$18:$S$24</definedName>
    <definedName name="solver_rhs10" localSheetId="1" hidden="1">'Fertilizer Optimization'!$T$18:$W$23</definedName>
    <definedName name="solver_rhs11" localSheetId="1" hidden="1">0</definedName>
    <definedName name="solver_rhs12" localSheetId="1" hidden="1">'Fertilizer Optimization'!$U$46</definedName>
    <definedName name="solver_rhs13" localSheetId="1" hidden="1">'Fertilizer Optimization'!$O$18:$R$23</definedName>
    <definedName name="solver_rhs14" localSheetId="1" hidden="1">'Fertilizer Optimization'!$T$18:$W$23</definedName>
    <definedName name="solver_rhs15" localSheetId="1" hidden="1">0</definedName>
    <definedName name="solver_rhs16" localSheetId="1" hidden="1">'Fertilizer Optimization'!$U$46</definedName>
    <definedName name="solver_rhs17" localSheetId="1" hidden="1">'Fertilizer Optimization'!$O$18:$R$23</definedName>
    <definedName name="solver_rhs18" localSheetId="1" hidden="1">'Fertilizer Optimization'!$T$18:$W$23</definedName>
    <definedName name="solver_rhs19" localSheetId="1" hidden="1">0</definedName>
    <definedName name="solver_rhs2" localSheetId="1" hidden="1">'Fertilizer Optimization'!$T$18:$X$24</definedName>
    <definedName name="solver_rhs20" localSheetId="1" hidden="1">'Fertilizer Optimization'!$U$46</definedName>
    <definedName name="solver_rhs21" localSheetId="1" hidden="1">integer</definedName>
    <definedName name="solver_rhs22" localSheetId="1" hidden="1">integer</definedName>
    <definedName name="solver_rhs23" localSheetId="1" hidden="1">integer</definedName>
    <definedName name="solver_rhs24" localSheetId="1" hidden="1">integer</definedName>
    <definedName name="solver_rhs25" localSheetId="1" hidden="1">integer</definedName>
    <definedName name="solver_rhs26" localSheetId="1" hidden="1">'Fertilizer Optimization'!#REF!</definedName>
    <definedName name="solver_rhs3" localSheetId="1" hidden="1">'Fertilizer Optimization'!$Y$18:$AB$24</definedName>
    <definedName name="solver_rhs4" localSheetId="1" hidden="1">'Fertilizer Optimization'!$U$53</definedName>
    <definedName name="solver_rhs5" localSheetId="1" hidden="1">'Fertilizer Optimization'!$O$16:$R$21</definedName>
    <definedName name="solver_rhs6" localSheetId="1" hidden="1">'Fertilizer Optimization'!$S$16:$V$21</definedName>
    <definedName name="solver_rhs7" localSheetId="1" hidden="1">0</definedName>
    <definedName name="solver_rhs8" localSheetId="1" hidden="1">'Fertilizer Optimization'!#REF!</definedName>
    <definedName name="solver_rhs9" localSheetId="1" hidden="1">'Fertilizer Optimization'!$O$18:$R$23</definedName>
    <definedName name="solver_rlx" localSheetId="1" hidden="1">1</definedName>
    <definedName name="solver_rsd" localSheetId="1" hidden="1">0</definedName>
    <definedName name="solver_scl" localSheetId="1" hidden="1">2</definedName>
    <definedName name="solver_sho" localSheetId="1" hidden="1">2</definedName>
    <definedName name="solver_ssz" localSheetId="1" hidden="1">100</definedName>
    <definedName name="solver_tim" localSheetId="1" hidden="1">100</definedName>
    <definedName name="solver_tol" localSheetId="1" hidden="1">0.05</definedName>
    <definedName name="solver_typ" localSheetId="1" hidden="1">1</definedName>
    <definedName name="solver_val" localSheetId="1" hidden="1">0</definedName>
    <definedName name="solver_ver" localSheetId="1" hidden="1">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0" i="2" l="1"/>
  <c r="F50" i="2"/>
  <c r="E50" i="2"/>
  <c r="D50" i="2"/>
  <c r="C50" i="2"/>
  <c r="G49" i="2"/>
  <c r="F49" i="2"/>
  <c r="E49" i="2"/>
  <c r="D49" i="2"/>
  <c r="C49" i="2"/>
  <c r="G48" i="2"/>
  <c r="F48" i="2"/>
  <c r="E48" i="2"/>
  <c r="D48" i="2"/>
  <c r="C48" i="2"/>
  <c r="G47" i="2"/>
  <c r="F47" i="2"/>
  <c r="E47" i="2"/>
  <c r="D47" i="2"/>
  <c r="C47" i="2"/>
  <c r="G46" i="2"/>
  <c r="F46" i="2"/>
  <c r="E46" i="2"/>
  <c r="D46" i="2"/>
  <c r="C46" i="2"/>
  <c r="G45" i="2"/>
  <c r="F45" i="2"/>
  <c r="E45" i="2"/>
  <c r="D45" i="2"/>
  <c r="C45" i="2"/>
  <c r="G44" i="2"/>
  <c r="F44" i="2"/>
  <c r="E44" i="2"/>
  <c r="D44" i="2"/>
  <c r="C44" i="2"/>
  <c r="M33" i="2" l="1"/>
  <c r="M34" i="2"/>
  <c r="M35" i="2"/>
  <c r="M36" i="2"/>
  <c r="M32" i="2"/>
  <c r="B48" i="2" l="1"/>
  <c r="C23" i="2" l="1"/>
  <c r="B55" i="2" l="1"/>
  <c r="B56" i="2"/>
  <c r="B57" i="2"/>
  <c r="B58" i="2"/>
  <c r="B59" i="2"/>
  <c r="B60" i="2"/>
  <c r="B54" i="2"/>
  <c r="B45" i="2"/>
  <c r="B46" i="2"/>
  <c r="B47" i="2"/>
  <c r="B49" i="2"/>
  <c r="B50" i="2"/>
  <c r="B44" i="2"/>
  <c r="N47" i="2"/>
  <c r="N48" i="2"/>
  <c r="N49" i="2"/>
  <c r="N50" i="2"/>
  <c r="N51" i="2"/>
  <c r="N52" i="2"/>
  <c r="N46" i="2"/>
  <c r="L33" i="2"/>
  <c r="L34" i="2"/>
  <c r="L35" i="2"/>
  <c r="L36" i="2"/>
  <c r="L37" i="2"/>
  <c r="L38" i="2"/>
  <c r="L32" i="2"/>
  <c r="N19" i="2"/>
  <c r="N20" i="2"/>
  <c r="N21" i="2"/>
  <c r="N22" i="2"/>
  <c r="N23" i="2"/>
  <c r="N24" i="2"/>
  <c r="N18" i="2"/>
  <c r="G43" i="2" l="1"/>
  <c r="U13" i="2" l="1"/>
  <c r="S47" i="2" s="1"/>
  <c r="S50" i="2" l="1"/>
  <c r="S46" i="2"/>
  <c r="S49" i="2"/>
  <c r="S52" i="2"/>
  <c r="S48" i="2"/>
  <c r="S51" i="2"/>
  <c r="P85" i="2"/>
  <c r="P86" i="2"/>
  <c r="P87" i="2"/>
  <c r="P84" i="2"/>
  <c r="P80" i="2"/>
  <c r="P81" i="2"/>
  <c r="P82" i="2"/>
  <c r="P83" i="2"/>
  <c r="P76" i="2"/>
  <c r="P77" i="2"/>
  <c r="P78" i="2"/>
  <c r="P79" i="2"/>
  <c r="P72" i="2"/>
  <c r="P73" i="2"/>
  <c r="P74" i="2"/>
  <c r="P75" i="2"/>
  <c r="P68" i="2"/>
  <c r="P69" i="2"/>
  <c r="P70" i="2"/>
  <c r="P71" i="2"/>
  <c r="P64" i="2"/>
  <c r="P65" i="2"/>
  <c r="P66" i="2"/>
  <c r="P67" i="2"/>
  <c r="U12" i="2"/>
  <c r="U11" i="2"/>
  <c r="U10" i="2"/>
  <c r="U9" i="2"/>
  <c r="T10" i="2"/>
  <c r="T11" i="2"/>
  <c r="T12" i="2"/>
  <c r="T13" i="2"/>
  <c r="T9" i="2"/>
  <c r="U53" i="2"/>
  <c r="R48" i="2" l="1"/>
  <c r="R52" i="2"/>
  <c r="R49" i="2"/>
  <c r="R46" i="2"/>
  <c r="R50" i="2"/>
  <c r="R47" i="2"/>
  <c r="R51" i="2"/>
  <c r="P50" i="2"/>
  <c r="P47" i="2"/>
  <c r="P51" i="2"/>
  <c r="P48" i="2"/>
  <c r="P52" i="2"/>
  <c r="P49" i="2"/>
  <c r="P46" i="2"/>
  <c r="Q49" i="2"/>
  <c r="Q46" i="2"/>
  <c r="Q50" i="2"/>
  <c r="Q47" i="2"/>
  <c r="Q51" i="2"/>
  <c r="Q48" i="2"/>
  <c r="Q52" i="2"/>
  <c r="O47" i="2"/>
  <c r="O51" i="2"/>
  <c r="O48" i="2"/>
  <c r="O52" i="2"/>
  <c r="O49" i="2"/>
  <c r="O46" i="2"/>
  <c r="O50" i="2"/>
  <c r="W24" i="2"/>
  <c r="V24" i="2"/>
  <c r="U24" i="2"/>
  <c r="T24" i="2"/>
  <c r="Z38" i="2" l="1"/>
  <c r="AB38" i="2"/>
  <c r="AF38" i="2" s="1"/>
  <c r="Y38" i="2"/>
  <c r="AA38" i="2"/>
  <c r="T21" i="2"/>
  <c r="T20" i="2"/>
  <c r="T22" i="2"/>
  <c r="T19" i="2"/>
  <c r="T18" i="2"/>
  <c r="V23" i="2"/>
  <c r="V22" i="2"/>
  <c r="U23" i="2"/>
  <c r="U22" i="2"/>
  <c r="P60" i="2"/>
  <c r="Q87" i="2" l="1"/>
  <c r="R87" i="2" s="1"/>
  <c r="S87" i="2" s="1"/>
  <c r="Q11" i="2"/>
  <c r="V38" i="2" s="1"/>
  <c r="R10" i="2"/>
  <c r="U38" i="2" s="1"/>
  <c r="R11" i="2"/>
  <c r="W38" i="2" s="1"/>
  <c r="S12" i="2"/>
  <c r="X38" i="2" s="1"/>
  <c r="AE38" i="2" s="1"/>
  <c r="Q86" i="2" l="1"/>
  <c r="R86" i="2" s="1"/>
  <c r="S86" i="2" s="1"/>
  <c r="AD38" i="2"/>
  <c r="W23" i="2"/>
  <c r="W22" i="2"/>
  <c r="W21" i="2"/>
  <c r="W20" i="2"/>
  <c r="W19" i="2"/>
  <c r="W18" i="2"/>
  <c r="V21" i="2"/>
  <c r="V20" i="2"/>
  <c r="V19" i="2"/>
  <c r="V18" i="2"/>
  <c r="U18" i="2"/>
  <c r="Q85" i="2" l="1"/>
  <c r="R85" i="2" s="1"/>
  <c r="S85" i="2" s="1"/>
  <c r="U19" i="2"/>
  <c r="T23" i="2" l="1"/>
  <c r="P62" i="2" l="1"/>
  <c r="S13" i="2" l="1"/>
  <c r="S11" i="2"/>
  <c r="S10" i="2"/>
  <c r="S9" i="2"/>
  <c r="R9" i="2"/>
  <c r="R12" i="2"/>
  <c r="R13" i="2"/>
  <c r="Q9" i="2"/>
  <c r="T38" i="2" s="1"/>
  <c r="AC38" i="2" s="1"/>
  <c r="Q84" i="2" l="1"/>
  <c r="R84" i="2" s="1"/>
  <c r="Q10" i="2"/>
  <c r="Q12" i="2"/>
  <c r="Q13" i="2"/>
  <c r="S84" i="2" l="1"/>
  <c r="T84" i="2" s="1"/>
  <c r="W84" i="2"/>
  <c r="C60" i="2" s="1"/>
  <c r="P61" i="2"/>
  <c r="U21" i="2"/>
  <c r="U20" i="2"/>
  <c r="C12" i="2" l="1"/>
  <c r="P13" i="2"/>
  <c r="AA35" i="2" l="1"/>
  <c r="AB35" i="2"/>
  <c r="AF35" i="2" s="1"/>
  <c r="Q75" i="2" s="1"/>
  <c r="R75" i="2" s="1"/>
  <c r="AB32" i="2"/>
  <c r="AF32" i="2" s="1"/>
  <c r="T32" i="2"/>
  <c r="T36" i="2"/>
  <c r="AB36" i="2"/>
  <c r="AF36" i="2" s="1"/>
  <c r="Q79" i="2" s="1"/>
  <c r="R79" i="2" s="1"/>
  <c r="T33" i="2"/>
  <c r="AB33" i="2"/>
  <c r="AF33" i="2" s="1"/>
  <c r="Q67" i="2" s="1"/>
  <c r="R67" i="2" s="1"/>
  <c r="V34" i="2"/>
  <c r="T34" i="2"/>
  <c r="AB34" i="2"/>
  <c r="AF34" i="2" s="1"/>
  <c r="Q71" i="2" s="1"/>
  <c r="R71" i="2" s="1"/>
  <c r="V35" i="2"/>
  <c r="T35" i="2"/>
  <c r="V33" i="2"/>
  <c r="V32" i="2"/>
  <c r="W36" i="2"/>
  <c r="U36" i="2"/>
  <c r="X36" i="2"/>
  <c r="V36" i="2"/>
  <c r="AA36" i="2"/>
  <c r="Z36" i="2"/>
  <c r="Y36" i="2"/>
  <c r="Z35" i="2"/>
  <c r="X35" i="2"/>
  <c r="Y35" i="2"/>
  <c r="W35" i="2"/>
  <c r="U35" i="2"/>
  <c r="AA34" i="2"/>
  <c r="Z34" i="2"/>
  <c r="Y34" i="2"/>
  <c r="X34" i="2"/>
  <c r="W34" i="2"/>
  <c r="U34" i="2"/>
  <c r="AA33" i="2"/>
  <c r="Y33" i="2"/>
  <c r="W33" i="2"/>
  <c r="U33" i="2"/>
  <c r="Z33" i="2"/>
  <c r="X33" i="2"/>
  <c r="AA32" i="2"/>
  <c r="Z32" i="2"/>
  <c r="Y32" i="2"/>
  <c r="X32" i="2"/>
  <c r="W32" i="2"/>
  <c r="U32" i="2"/>
  <c r="S45" i="2"/>
  <c r="AA31" i="2"/>
  <c r="S31" i="2"/>
  <c r="Y31" i="2"/>
  <c r="Z31" i="2"/>
  <c r="S17" i="2"/>
  <c r="N33" i="2"/>
  <c r="N34" i="2"/>
  <c r="N35" i="2"/>
  <c r="N36" i="2"/>
  <c r="N32" i="2"/>
  <c r="S71" i="2" l="1"/>
  <c r="S67" i="2"/>
  <c r="AE35" i="2"/>
  <c r="Q74" i="2" s="1"/>
  <c r="R74" i="2" s="1"/>
  <c r="S74" i="2" s="1"/>
  <c r="AC34" i="2"/>
  <c r="Q68" i="2" s="1"/>
  <c r="R68" i="2" s="1"/>
  <c r="S68" i="2" s="1"/>
  <c r="S79" i="2"/>
  <c r="S75" i="2"/>
  <c r="AC33" i="2"/>
  <c r="Q64" i="2" s="1"/>
  <c r="R64" i="2" s="1"/>
  <c r="S64" i="2" s="1"/>
  <c r="AD32" i="2"/>
  <c r="Q61" i="2" s="1"/>
  <c r="AD33" i="2"/>
  <c r="Q65" i="2" s="1"/>
  <c r="R65" i="2" s="1"/>
  <c r="S65" i="2" s="1"/>
  <c r="AD34" i="2"/>
  <c r="Q69" i="2" s="1"/>
  <c r="R69" i="2" s="1"/>
  <c r="S69" i="2" s="1"/>
  <c r="AE36" i="2"/>
  <c r="Q78" i="2" s="1"/>
  <c r="R78" i="2" s="1"/>
  <c r="S78" i="2" s="1"/>
  <c r="AE32" i="2"/>
  <c r="Q62" i="2" s="1"/>
  <c r="AE34" i="2"/>
  <c r="Q70" i="2" s="1"/>
  <c r="R70" i="2" s="1"/>
  <c r="S70" i="2" s="1"/>
  <c r="AC36" i="2"/>
  <c r="Q76" i="2" s="1"/>
  <c r="R76" i="2" s="1"/>
  <c r="S76" i="2" s="1"/>
  <c r="AE33" i="2"/>
  <c r="Q66" i="2" s="1"/>
  <c r="R66" i="2" s="1"/>
  <c r="S66" i="2" s="1"/>
  <c r="AD35" i="2"/>
  <c r="Q73" i="2" s="1"/>
  <c r="R73" i="2" s="1"/>
  <c r="S73" i="2" s="1"/>
  <c r="AC32" i="2"/>
  <c r="AD36" i="2"/>
  <c r="Q77" i="2" s="1"/>
  <c r="R77" i="2" s="1"/>
  <c r="S77" i="2" s="1"/>
  <c r="AC35" i="2"/>
  <c r="Q72" i="2" s="1"/>
  <c r="R72" i="2" s="1"/>
  <c r="T52" i="2"/>
  <c r="U84" i="2" s="1"/>
  <c r="V84" i="2" s="1"/>
  <c r="X84" i="2" s="1"/>
  <c r="D60" i="2" s="1"/>
  <c r="O53" i="2"/>
  <c r="S53" i="2"/>
  <c r="T46" i="2" l="1"/>
  <c r="U60" i="2" s="1"/>
  <c r="W68" i="2"/>
  <c r="C56" i="2" s="1"/>
  <c r="T68" i="2"/>
  <c r="T49" i="2"/>
  <c r="U72" i="2" s="1"/>
  <c r="T48" i="2"/>
  <c r="U68" i="2" s="1"/>
  <c r="T47" i="2"/>
  <c r="U64" i="2" s="1"/>
  <c r="T64" i="2"/>
  <c r="Q60" i="2"/>
  <c r="W72" i="2"/>
  <c r="C57" i="2" s="1"/>
  <c r="S72" i="2"/>
  <c r="T72" i="2" s="1"/>
  <c r="W76" i="2"/>
  <c r="C58" i="2" s="1"/>
  <c r="W64" i="2"/>
  <c r="C55" i="2" s="1"/>
  <c r="T76" i="2"/>
  <c r="R53" i="2"/>
  <c r="Q53" i="2"/>
  <c r="P53" i="2"/>
  <c r="T50" i="2"/>
  <c r="U76" i="2" s="1"/>
  <c r="AB37" i="2"/>
  <c r="AF37" i="2" s="1"/>
  <c r="Q83" i="2" s="1"/>
  <c r="P63" i="2"/>
  <c r="Q63" i="2" s="1"/>
  <c r="R83" i="2" l="1"/>
  <c r="S83" i="2" s="1"/>
  <c r="T51" i="2"/>
  <c r="U80" i="2" s="1"/>
  <c r="U98" i="2" s="1"/>
  <c r="V64" i="2"/>
  <c r="X64" i="2" s="1"/>
  <c r="D55" i="2" s="1"/>
  <c r="V68" i="2"/>
  <c r="X68" i="2" s="1"/>
  <c r="D56" i="2" s="1"/>
  <c r="V72" i="2"/>
  <c r="X72" i="2" s="1"/>
  <c r="D57" i="2" s="1"/>
  <c r="V76" i="2"/>
  <c r="X76" i="2" s="1"/>
  <c r="D58" i="2" s="1"/>
  <c r="T37" i="2"/>
  <c r="S40" i="2"/>
  <c r="G51" i="2" s="1"/>
  <c r="Q40" i="2"/>
  <c r="E51" i="2" s="1"/>
  <c r="O40" i="2"/>
  <c r="C51" i="2" s="1"/>
  <c r="P40" i="2"/>
  <c r="D51" i="2" s="1"/>
  <c r="R40" i="2"/>
  <c r="F51" i="2" s="1"/>
  <c r="W37" i="2"/>
  <c r="X37" i="2"/>
  <c r="AA37" i="2"/>
  <c r="Y37" i="2"/>
  <c r="U37" i="2"/>
  <c r="Z37" i="2"/>
  <c r="V37" i="2"/>
  <c r="T53" i="2" l="1"/>
  <c r="AC37" i="2"/>
  <c r="AD37" i="2"/>
  <c r="AE37" i="2"/>
  <c r="R60" i="2"/>
  <c r="S60" i="2" s="1"/>
  <c r="R62" i="2"/>
  <c r="S62" i="2" s="1"/>
  <c r="R61" i="2"/>
  <c r="S61" i="2" s="1"/>
  <c r="Q82" i="2" l="1"/>
  <c r="R82" i="2" s="1"/>
  <c r="S82" i="2" s="1"/>
  <c r="Q80" i="2"/>
  <c r="R80" i="2" s="1"/>
  <c r="Q81" i="2"/>
  <c r="R81" i="2" s="1"/>
  <c r="S81" i="2" s="1"/>
  <c r="R63" i="2"/>
  <c r="S80" i="2" l="1"/>
  <c r="T80" i="2" s="1"/>
  <c r="V80" i="2" s="1"/>
  <c r="X80" i="2" s="1"/>
  <c r="D59" i="2" s="1"/>
  <c r="W80" i="2"/>
  <c r="C59" i="2" s="1"/>
  <c r="S63" i="2"/>
  <c r="T60" i="2" s="1"/>
  <c r="W60" i="2"/>
  <c r="C54" i="2" s="1"/>
  <c r="V60" i="2" l="1"/>
  <c r="V98" i="2" s="1"/>
  <c r="C62" i="2" s="1"/>
  <c r="T98" i="2"/>
  <c r="X60" i="2" l="1"/>
  <c r="D54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s-jjansen7</author>
  </authors>
  <commentList>
    <comment ref="C15" authorId="0" shapeId="0" xr:uid="{00000000-0006-0000-0100-000001000000}">
      <text>
        <r>
          <rPr>
            <b/>
            <sz val="12"/>
            <color indexed="81"/>
            <rFont val="Tahoma"/>
            <family val="2"/>
          </rPr>
          <t xml:space="preserve">* </t>
        </r>
        <r>
          <rPr>
            <sz val="12"/>
            <color indexed="81"/>
            <rFont val="Tahoma"/>
            <family val="2"/>
          </rPr>
          <t>Enter zero for any crops not being planted.</t>
        </r>
      </text>
    </comment>
    <comment ref="D15" authorId="0" shapeId="0" xr:uid="{00000000-0006-0000-0100-000002000000}">
      <text>
        <r>
          <rPr>
            <b/>
            <sz val="12"/>
            <color indexed="81"/>
            <rFont val="Tahoma"/>
            <family val="2"/>
          </rPr>
          <t xml:space="preserve">† </t>
        </r>
        <r>
          <rPr>
            <sz val="12"/>
            <color indexed="81"/>
            <rFont val="Tahoma"/>
            <family val="2"/>
          </rPr>
          <t>Actual selling price (value of crops not sold) minus costs of harvest, storage, transportation and marketing.</t>
        </r>
      </text>
    </comment>
    <comment ref="G25" authorId="0" shapeId="0" xr:uid="{00000000-0006-0000-0100-000003000000}">
      <text>
        <r>
          <rPr>
            <b/>
            <sz val="12"/>
            <color indexed="81"/>
            <rFont val="Tahoma"/>
            <family val="2"/>
          </rPr>
          <t xml:space="preserve">¶ </t>
        </r>
        <r>
          <rPr>
            <sz val="12"/>
            <color indexed="81"/>
            <rFont val="Tahoma"/>
            <family val="2"/>
          </rPr>
          <t>Enter the total price of the fertilizer product in a 50 kg bag including  procurement costs.</t>
        </r>
        <r>
          <rPr>
            <b/>
            <sz val="12"/>
            <color indexed="81"/>
            <rFont val="Tahoma"/>
            <family val="2"/>
          </rPr>
          <t xml:space="preserve">
* </t>
        </r>
        <r>
          <rPr>
            <sz val="12"/>
            <color indexed="81"/>
            <rFont val="Tahoma"/>
            <family val="2"/>
          </rPr>
          <t>Enter zero for any fertilize product not being used.</t>
        </r>
      </text>
    </comment>
  </commentList>
</comments>
</file>

<file path=xl/sharedStrings.xml><?xml version="1.0" encoding="utf-8"?>
<sst xmlns="http://schemas.openxmlformats.org/spreadsheetml/2006/main" count="159" uniqueCount="133">
  <si>
    <t>Sorghum</t>
  </si>
  <si>
    <t>Functions</t>
  </si>
  <si>
    <t>Net Return</t>
  </si>
  <si>
    <t>Fert Costs</t>
  </si>
  <si>
    <t>Value/kg</t>
  </si>
  <si>
    <t>Crop Selection and Prices</t>
  </si>
  <si>
    <t>Crop</t>
  </si>
  <si>
    <t>Fertilizer Selection and Prices</t>
  </si>
  <si>
    <t>Fertilizer Product</t>
  </si>
  <si>
    <t>Urea</t>
  </si>
  <si>
    <t>Budget Constraint</t>
  </si>
  <si>
    <t>Amount available to invest in fertilizer</t>
  </si>
  <si>
    <t>TSP</t>
  </si>
  <si>
    <t>DAP</t>
  </si>
  <si>
    <t>KCL</t>
  </si>
  <si>
    <t>Triple Super Phosphate</t>
  </si>
  <si>
    <t>Diammonium Phosphate</t>
  </si>
  <si>
    <t>Murate of Potash</t>
  </si>
  <si>
    <t>Fertilizer</t>
  </si>
  <si>
    <t>Nitrogen</t>
  </si>
  <si>
    <t>Potassium</t>
  </si>
  <si>
    <t>Phosphorous</t>
  </si>
  <si>
    <t>KCl</t>
  </si>
  <si>
    <t>Ha Planted</t>
  </si>
  <si>
    <t>Urea Min</t>
  </si>
  <si>
    <t>TSP Min</t>
  </si>
  <si>
    <t>DAP Min</t>
  </si>
  <si>
    <t>KCl Min</t>
  </si>
  <si>
    <t>Urea Max</t>
  </si>
  <si>
    <t>TSP Max</t>
  </si>
  <si>
    <t>DAP Max</t>
  </si>
  <si>
    <t>KCl Max</t>
  </si>
  <si>
    <t xml:space="preserve">Fertilizer Constraints </t>
  </si>
  <si>
    <t>Fertilizer Units Applied/Ha</t>
  </si>
  <si>
    <t>Area Planted and Price</t>
  </si>
  <si>
    <t>Sum</t>
  </si>
  <si>
    <t>Price/kg</t>
  </si>
  <si>
    <t>Urea kg (N)</t>
  </si>
  <si>
    <t>TSP kg (P)</t>
  </si>
  <si>
    <t>DAP kg (N)</t>
  </si>
  <si>
    <t>DAP kg (P)</t>
  </si>
  <si>
    <t>KCl kg (K)</t>
  </si>
  <si>
    <t>Individual Net Value</t>
  </si>
  <si>
    <t>Net Value per Fertilizer</t>
  </si>
  <si>
    <t>Net Returns</t>
  </si>
  <si>
    <t>Base Production</t>
  </si>
  <si>
    <t>Returns and Expenses</t>
  </si>
  <si>
    <t>Expected Yield Kg</t>
  </si>
  <si>
    <t>Crop and Yield Responses</t>
  </si>
  <si>
    <t xml:space="preserve">Fertilizer Cost </t>
  </si>
  <si>
    <t xml:space="preserve">Urea </t>
  </si>
  <si>
    <t xml:space="preserve">TSP </t>
  </si>
  <si>
    <t xml:space="preserve">DAP </t>
  </si>
  <si>
    <t xml:space="preserve">KCl </t>
  </si>
  <si>
    <t>Accumulated Sums</t>
  </si>
  <si>
    <t xml:space="preserve"> Net Value</t>
  </si>
  <si>
    <t xml:space="preserve"> Fertilizer Cost</t>
  </si>
  <si>
    <t xml:space="preserve"> Net Returns</t>
  </si>
  <si>
    <t xml:space="preserve">Urea kg </t>
  </si>
  <si>
    <t xml:space="preserve">Expected  Change </t>
  </si>
  <si>
    <t>Abbreviation</t>
  </si>
  <si>
    <t>N Sum</t>
  </si>
  <si>
    <t>P Sum</t>
  </si>
  <si>
    <t>Fertilizer Totals</t>
  </si>
  <si>
    <t>K Sum</t>
  </si>
  <si>
    <t>Yield Increases</t>
  </si>
  <si>
    <t>1) Locate the Security Warning for the spreadsheet underneath the excel toolbar.</t>
  </si>
  <si>
    <t>2) Click on the options button near the security warning.</t>
  </si>
  <si>
    <t>3) After clicking options, the Security Alert - Macro will appear, next click Enable this content and select Ok.</t>
  </si>
  <si>
    <t>Fertilizer Optimization</t>
  </si>
  <si>
    <t>N</t>
  </si>
  <si>
    <t>Murate of potash, KCL</t>
  </si>
  <si>
    <t>Diammonium phosphate, DAP</t>
  </si>
  <si>
    <t>Triple super phosphate, TSP</t>
  </si>
  <si>
    <t>P2O5</t>
  </si>
  <si>
    <t>K2O</t>
  </si>
  <si>
    <t>Producer Name:</t>
  </si>
  <si>
    <t>Prepared By:</t>
  </si>
  <si>
    <t>Date Prepared:</t>
  </si>
  <si>
    <t>1) Click the Office 2007 round icon (or File in Office 2010) and select Excel Options.</t>
  </si>
  <si>
    <t>2) Select the Add-Ins Tab and select Go.</t>
  </si>
  <si>
    <t>Fertilizer Amount</t>
  </si>
  <si>
    <t xml:space="preserve">TSP kg </t>
  </si>
  <si>
    <t xml:space="preserve">DAP kg </t>
  </si>
  <si>
    <t xml:space="preserve">KCl kg </t>
  </si>
  <si>
    <t>xxx</t>
  </si>
  <si>
    <t>Steps required to enable macro features:</t>
  </si>
  <si>
    <t xml:space="preserve"> </t>
  </si>
  <si>
    <t xml:space="preserve">3) When the Add-Ins window appears, selected the Solver Add-In checkbox and click ok. </t>
  </si>
  <si>
    <t>This excel workbook must have the macro features and Solver Add-Ins enabled  to function.</t>
  </si>
  <si>
    <t>Steps required to enable Solver Add-Inns:</t>
  </si>
  <si>
    <t>Fertilizer Cost/Crop</t>
  </si>
  <si>
    <t>%</t>
  </si>
  <si>
    <t>Total net returns to investment in fertilizer</t>
  </si>
  <si>
    <t>Total Expected Net Returns to Fertilizer</t>
  </si>
  <si>
    <t>Expected 
Grain Value/kg †</t>
  </si>
  <si>
    <t>Total fertilizer needed</t>
  </si>
  <si>
    <t>Output Variable - kg/Ha</t>
  </si>
  <si>
    <t>© 2015, The Board of Regents of the University of Nebraska. All rights reserved.</t>
  </si>
  <si>
    <t>Coffecient a</t>
  </si>
  <si>
    <t>Coefficient b</t>
  </si>
  <si>
    <t>Coefficient c</t>
  </si>
  <si>
    <t>Total</t>
  </si>
  <si>
    <t>Total Fertilizer needed</t>
  </si>
  <si>
    <t>Costs/50 kg bag ¶*</t>
  </si>
  <si>
    <t>Rice, lowland N</t>
  </si>
  <si>
    <t>Fertilizer Nutrient Total Maxes</t>
  </si>
  <si>
    <t>Rice, lowland Paddy</t>
  </si>
  <si>
    <t>Credits: George Jumaa Ley, Catherine Senkoro, Atanasio Marandu of Mlingano Agricultural Research Institute (ARI-Mlingano); and Charles Wortmann, Jim Jansen, and Matthew Stockton, University of Nebraska-Lincoln.</t>
  </si>
  <si>
    <t xml:space="preserve">For information, contact: Catherine Senkoro, ARI-Mlingano, cathysenkoro@gmail.com </t>
  </si>
  <si>
    <t xml:space="preserve">Acknowledgements: Mlingano Agricultural Research Institute (ARI-Mlingano); funding support from the Alliance for a  Green Revolution in Africa - Soil Health Programme; technical support from CABI and the University of Nebraska-Lincoln. </t>
  </si>
  <si>
    <t xml:space="preserve">Maize </t>
  </si>
  <si>
    <t>Sweet Potato</t>
  </si>
  <si>
    <t>Other</t>
  </si>
  <si>
    <t>xx Max</t>
  </si>
  <si>
    <t>Other sum</t>
  </si>
  <si>
    <t>Other kg (S)</t>
  </si>
  <si>
    <t>xx sum</t>
  </si>
  <si>
    <t>Rice, lowland PwN</t>
  </si>
  <si>
    <t>Maize N</t>
  </si>
  <si>
    <t>Maize P</t>
  </si>
  <si>
    <t>Sorghum N</t>
  </si>
  <si>
    <t>Sorghum P</t>
  </si>
  <si>
    <t>Sweet Potato N</t>
  </si>
  <si>
    <t>Sweet Potato PwN</t>
  </si>
  <si>
    <t>Cowpea</t>
  </si>
  <si>
    <t>Cowpea p</t>
  </si>
  <si>
    <t>Cowpea N</t>
  </si>
  <si>
    <t>Cowpea K</t>
  </si>
  <si>
    <t>Area Planted 
(Ac)*</t>
  </si>
  <si>
    <t>Application Rate - kg/Ac</t>
  </si>
  <si>
    <t>Expected Average Effects per Ac</t>
  </si>
  <si>
    <t>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</si>
</sst>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164" formatCode="[$£-452]#,##0.00"/>
    <numFmt numFmtId="165" formatCode="0.0%"/>
    <numFmt numFmtId="166" formatCode="0.0"/>
    <numFmt numFmtId="167" formatCode="[$-409]mmmm\ d\,\ yyyy;@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4"/>
      <color theme="1"/>
      <name val="Calibri"/>
      <family val="2"/>
      <scheme val="minor"/>
    </font>
    <font>
      <b/>
      <sz val="14"/>
      <color theme="0"/>
      <name val="Arial"/>
      <family val="2"/>
    </font>
    <font>
      <sz val="12"/>
      <name val="Arial"/>
      <family val="2"/>
    </font>
    <font>
      <b/>
      <sz val="14"/>
      <color theme="1"/>
      <name val="Arial"/>
      <family val="2"/>
    </font>
    <font>
      <b/>
      <sz val="12"/>
      <color indexed="81"/>
      <name val="Tahoma"/>
      <family val="2"/>
    </font>
    <font>
      <sz val="12"/>
      <color indexed="81"/>
      <name val="Tahoma"/>
      <family val="2"/>
    </font>
    <font>
      <b/>
      <sz val="14"/>
      <color theme="1"/>
      <name val="Calibri"/>
      <family val="2"/>
      <scheme val="minor"/>
    </font>
    <font>
      <sz val="11"/>
      <color theme="1"/>
      <name val="Arial"/>
      <family val="2"/>
    </font>
    <font>
      <sz val="14"/>
      <color theme="1"/>
      <name val="Arial"/>
      <family val="2"/>
    </font>
    <font>
      <sz val="11"/>
      <color rgb="FFDDF456"/>
      <name val="Arial"/>
      <family val="2"/>
    </font>
    <font>
      <sz val="10"/>
      <color theme="1"/>
      <name val="Arial"/>
      <family val="2"/>
    </font>
    <font>
      <b/>
      <sz val="16"/>
      <color theme="1"/>
      <name val="Arial"/>
      <family val="2"/>
    </font>
    <font>
      <sz val="11"/>
      <name val="Arial"/>
      <family val="2"/>
    </font>
    <font>
      <sz val="11"/>
      <color rgb="FF00B0F0"/>
      <name val="Arial"/>
      <family val="2"/>
    </font>
    <font>
      <b/>
      <sz val="14"/>
      <color theme="1" tint="4.9989318521683403E-2"/>
      <name val="Arial"/>
      <family val="2"/>
    </font>
    <font>
      <sz val="14"/>
      <color theme="1" tint="4.9989318521683403E-2"/>
      <name val="Arial"/>
      <family val="2"/>
    </font>
    <font>
      <sz val="11"/>
      <color theme="1" tint="4.9989318521683403E-2"/>
      <name val="Arial"/>
      <family val="2"/>
    </font>
    <font>
      <b/>
      <sz val="14"/>
      <color rgb="FF00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DDF456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</cellStyleXfs>
  <cellXfs count="228">
    <xf numFmtId="0" fontId="0" fillId="0" borderId="0" xfId="0"/>
    <xf numFmtId="0" fontId="2" fillId="0" borderId="6" xfId="1" applyBorder="1"/>
    <xf numFmtId="0" fontId="2" fillId="0" borderId="7" xfId="1" applyBorder="1"/>
    <xf numFmtId="0" fontId="4" fillId="4" borderId="10" xfId="1" applyFont="1" applyFill="1" applyBorder="1" applyAlignment="1">
      <alignment horizontal="center" vertical="center" wrapText="1"/>
    </xf>
    <xf numFmtId="0" fontId="4" fillId="4" borderId="13" xfId="1" applyFont="1" applyFill="1" applyBorder="1" applyAlignment="1">
      <alignment horizontal="center" vertical="center" wrapText="1"/>
    </xf>
    <xf numFmtId="0" fontId="5" fillId="4" borderId="6" xfId="1" applyFont="1" applyFill="1" applyBorder="1" applyAlignment="1">
      <alignment horizontal="left"/>
    </xf>
    <xf numFmtId="0" fontId="5" fillId="4" borderId="8" xfId="1" applyFont="1" applyFill="1" applyBorder="1" applyAlignment="1">
      <alignment horizontal="left"/>
    </xf>
    <xf numFmtId="1" fontId="5" fillId="5" borderId="2" xfId="1" applyNumberFormat="1" applyFont="1" applyFill="1" applyBorder="1" applyAlignment="1">
      <alignment horizontal="center"/>
    </xf>
    <xf numFmtId="3" fontId="5" fillId="5" borderId="2" xfId="1" applyNumberFormat="1" applyFont="1" applyFill="1" applyBorder="1" applyAlignment="1">
      <alignment horizontal="center"/>
    </xf>
    <xf numFmtId="0" fontId="5" fillId="4" borderId="8" xfId="1" applyFont="1" applyFill="1" applyBorder="1" applyAlignment="1">
      <alignment wrapText="1"/>
    </xf>
    <xf numFmtId="0" fontId="5" fillId="5" borderId="8" xfId="1" applyFont="1" applyFill="1" applyBorder="1" applyAlignment="1">
      <alignment wrapText="1"/>
    </xf>
    <xf numFmtId="0" fontId="3" fillId="6" borderId="0" xfId="1" applyFont="1" applyFill="1"/>
    <xf numFmtId="0" fontId="6" fillId="6" borderId="0" xfId="0" applyFont="1" applyFill="1"/>
    <xf numFmtId="0" fontId="5" fillId="6" borderId="0" xfId="1" applyFont="1" applyFill="1"/>
    <xf numFmtId="0" fontId="5" fillId="6" borderId="0" xfId="1" applyFont="1" applyFill="1" applyAlignment="1">
      <alignment horizontal="left" wrapText="1"/>
    </xf>
    <xf numFmtId="0" fontId="3" fillId="6" borderId="0" xfId="1" applyFont="1" applyFill="1" applyAlignment="1">
      <alignment horizontal="center"/>
    </xf>
    <xf numFmtId="0" fontId="2" fillId="6" borderId="0" xfId="1" applyFill="1" applyAlignment="1">
      <alignment horizontal="center"/>
    </xf>
    <xf numFmtId="0" fontId="2" fillId="6" borderId="0" xfId="1" applyFill="1"/>
    <xf numFmtId="0" fontId="5" fillId="4" borderId="4" xfId="1" applyFont="1" applyFill="1" applyBorder="1" applyAlignment="1">
      <alignment horizontal="left"/>
    </xf>
    <xf numFmtId="0" fontId="9" fillId="4" borderId="1" xfId="0" applyFont="1" applyFill="1" applyBorder="1" applyAlignment="1">
      <alignment horizontal="center" vertical="center"/>
    </xf>
    <xf numFmtId="0" fontId="4" fillId="4" borderId="1" xfId="1" applyFont="1" applyFill="1" applyBorder="1" applyAlignment="1">
      <alignment horizontal="center" vertical="center"/>
    </xf>
    <xf numFmtId="0" fontId="4" fillId="4" borderId="5" xfId="1" applyFont="1" applyFill="1" applyBorder="1" applyAlignment="1">
      <alignment horizontal="center" vertical="center" wrapText="1"/>
    </xf>
    <xf numFmtId="0" fontId="2" fillId="0" borderId="6" xfId="1" applyBorder="1" applyAlignment="1">
      <alignment horizontal="left" vertical="center"/>
    </xf>
    <xf numFmtId="0" fontId="2" fillId="0" borderId="4" xfId="1" applyBorder="1"/>
    <xf numFmtId="0" fontId="2" fillId="0" borderId="5" xfId="1" applyBorder="1"/>
    <xf numFmtId="0" fontId="2" fillId="0" borderId="7" xfId="1" applyBorder="1" applyAlignment="1">
      <alignment horizontal="left" vertical="center"/>
    </xf>
    <xf numFmtId="0" fontId="4" fillId="5" borderId="8" xfId="1" applyFont="1" applyFill="1" applyBorder="1" applyAlignment="1">
      <alignment horizontal="center"/>
    </xf>
    <xf numFmtId="0" fontId="8" fillId="6" borderId="0" xfId="1" applyFont="1" applyFill="1" applyAlignment="1">
      <alignment horizontal="left" wrapText="1"/>
    </xf>
    <xf numFmtId="0" fontId="12" fillId="6" borderId="0" xfId="0" applyFont="1" applyFill="1"/>
    <xf numFmtId="9" fontId="5" fillId="0" borderId="1" xfId="4" applyFont="1" applyBorder="1" applyAlignment="1" applyProtection="1">
      <alignment horizontal="center"/>
      <protection locked="0"/>
    </xf>
    <xf numFmtId="9" fontId="5" fillId="0" borderId="1" xfId="4" applyFont="1" applyFill="1" applyBorder="1" applyAlignment="1" applyProtection="1">
      <alignment horizontal="center"/>
      <protection locked="0"/>
    </xf>
    <xf numFmtId="9" fontId="5" fillId="0" borderId="2" xfId="4" applyFont="1" applyBorder="1" applyAlignment="1" applyProtection="1">
      <alignment horizontal="center"/>
      <protection locked="0"/>
    </xf>
    <xf numFmtId="9" fontId="5" fillId="0" borderId="2" xfId="4" applyFont="1" applyFill="1" applyBorder="1" applyAlignment="1" applyProtection="1">
      <alignment horizontal="center"/>
      <protection locked="0"/>
    </xf>
    <xf numFmtId="0" fontId="5" fillId="6" borderId="0" xfId="1" applyFont="1" applyFill="1" applyAlignment="1">
      <alignment horizontal="left" vertical="top" wrapText="1"/>
    </xf>
    <xf numFmtId="0" fontId="4" fillId="5" borderId="8" xfId="1" applyFont="1" applyFill="1" applyBorder="1" applyAlignment="1">
      <alignment horizontal="left"/>
    </xf>
    <xf numFmtId="0" fontId="4" fillId="5" borderId="10" xfId="1" applyFont="1" applyFill="1" applyBorder="1" applyAlignment="1">
      <alignment horizontal="center"/>
    </xf>
    <xf numFmtId="0" fontId="4" fillId="5" borderId="11" xfId="1" applyFont="1" applyFill="1" applyBorder="1" applyAlignment="1">
      <alignment horizontal="left" vertical="center"/>
    </xf>
    <xf numFmtId="0" fontId="4" fillId="4" borderId="4" xfId="1" applyFont="1" applyFill="1" applyBorder="1" applyAlignment="1">
      <alignment horizontal="left" vertical="center"/>
    </xf>
    <xf numFmtId="0" fontId="4" fillId="4" borderId="11" xfId="1" applyFont="1" applyFill="1" applyBorder="1" applyAlignment="1">
      <alignment horizontal="left" vertical="center"/>
    </xf>
    <xf numFmtId="0" fontId="4" fillId="5" borderId="10" xfId="1" applyFont="1" applyFill="1" applyBorder="1" applyAlignment="1">
      <alignment horizontal="center" vertical="center" wrapText="1"/>
    </xf>
    <xf numFmtId="0" fontId="4" fillId="5" borderId="13" xfId="1" applyFont="1" applyFill="1" applyBorder="1" applyAlignment="1">
      <alignment horizontal="center" vertical="center" wrapText="1"/>
    </xf>
    <xf numFmtId="0" fontId="13" fillId="6" borderId="0" xfId="0" applyFont="1" applyFill="1"/>
    <xf numFmtId="0" fontId="13" fillId="0" borderId="0" xfId="0" applyFont="1"/>
    <xf numFmtId="0" fontId="13" fillId="0" borderId="4" xfId="0" applyFont="1" applyBorder="1"/>
    <xf numFmtId="0" fontId="13" fillId="0" borderId="5" xfId="0" applyFont="1" applyBorder="1"/>
    <xf numFmtId="0" fontId="13" fillId="0" borderId="1" xfId="0" applyFont="1" applyBorder="1" applyAlignment="1">
      <alignment horizontal="center"/>
    </xf>
    <xf numFmtId="0" fontId="13" fillId="0" borderId="14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165" fontId="13" fillId="0" borderId="4" xfId="4" applyNumberFormat="1" applyFont="1" applyBorder="1" applyAlignment="1">
      <alignment horizontal="center"/>
    </xf>
    <xf numFmtId="0" fontId="9" fillId="6" borderId="0" xfId="0" applyFont="1" applyFill="1" applyAlignment="1">
      <alignment horizontal="right"/>
    </xf>
    <xf numFmtId="0" fontId="13" fillId="0" borderId="6" xfId="0" applyFont="1" applyBorder="1" applyAlignment="1">
      <alignment horizontal="center"/>
    </xf>
    <xf numFmtId="165" fontId="13" fillId="0" borderId="6" xfId="4" applyNumberFormat="1" applyFont="1" applyBorder="1" applyAlignment="1">
      <alignment horizontal="center"/>
    </xf>
    <xf numFmtId="165" fontId="13" fillId="0" borderId="0" xfId="4" applyNumberFormat="1" applyFont="1" applyBorder="1" applyAlignment="1">
      <alignment horizontal="center"/>
    </xf>
    <xf numFmtId="0" fontId="13" fillId="0" borderId="6" xfId="0" applyFont="1" applyBorder="1" applyAlignment="1">
      <alignment horizontal="center" vertical="center"/>
    </xf>
    <xf numFmtId="0" fontId="13" fillId="0" borderId="8" xfId="0" applyFont="1" applyBorder="1"/>
    <xf numFmtId="0" fontId="13" fillId="0" borderId="8" xfId="0" applyFont="1" applyBorder="1" applyAlignment="1">
      <alignment horizontal="center"/>
    </xf>
    <xf numFmtId="0" fontId="13" fillId="0" borderId="0" xfId="0" applyFont="1" applyAlignment="1">
      <alignment horizontal="center"/>
    </xf>
    <xf numFmtId="3" fontId="13" fillId="0" borderId="0" xfId="0" applyNumberFormat="1" applyFont="1" applyAlignment="1">
      <alignment horizontal="center"/>
    </xf>
    <xf numFmtId="2" fontId="13" fillId="0" borderId="4" xfId="0" applyNumberFormat="1" applyFont="1" applyBorder="1" applyAlignment="1">
      <alignment horizontal="center"/>
    </xf>
    <xf numFmtId="2" fontId="13" fillId="0" borderId="14" xfId="0" applyNumberFormat="1" applyFont="1" applyBorder="1" applyAlignment="1">
      <alignment horizontal="center"/>
    </xf>
    <xf numFmtId="2" fontId="13" fillId="0" borderId="6" xfId="0" applyNumberFormat="1" applyFont="1" applyBorder="1" applyAlignment="1">
      <alignment horizontal="center"/>
    </xf>
    <xf numFmtId="2" fontId="13" fillId="0" borderId="0" xfId="0" applyNumberFormat="1" applyFont="1" applyAlignment="1">
      <alignment horizontal="center"/>
    </xf>
    <xf numFmtId="0" fontId="13" fillId="0" borderId="10" xfId="0" applyFont="1" applyBorder="1"/>
    <xf numFmtId="0" fontId="13" fillId="0" borderId="10" xfId="0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13" fillId="0" borderId="12" xfId="0" applyFont="1" applyBorder="1" applyAlignment="1">
      <alignment horizontal="center"/>
    </xf>
    <xf numFmtId="166" fontId="13" fillId="0" borderId="6" xfId="0" applyNumberFormat="1" applyFont="1" applyBorder="1" applyAlignment="1" applyProtection="1">
      <alignment horizontal="center"/>
      <protection locked="0"/>
    </xf>
    <xf numFmtId="166" fontId="13" fillId="0" borderId="0" xfId="0" applyNumberFormat="1" applyFont="1" applyAlignment="1" applyProtection="1">
      <alignment horizontal="center"/>
      <protection locked="0"/>
    </xf>
    <xf numFmtId="1" fontId="13" fillId="0" borderId="6" xfId="0" applyNumberFormat="1" applyFont="1" applyBorder="1" applyAlignment="1">
      <alignment horizontal="center"/>
    </xf>
    <xf numFmtId="1" fontId="13" fillId="0" borderId="0" xfId="0" applyNumberFormat="1" applyFont="1" applyAlignment="1">
      <alignment horizontal="center"/>
    </xf>
    <xf numFmtId="0" fontId="15" fillId="0" borderId="0" xfId="0" applyFont="1" applyAlignment="1">
      <alignment horizontal="center"/>
    </xf>
    <xf numFmtId="0" fontId="13" fillId="0" borderId="2" xfId="0" applyFont="1" applyBorder="1" applyAlignment="1">
      <alignment horizontal="center"/>
    </xf>
    <xf numFmtId="166" fontId="13" fillId="0" borderId="6" xfId="0" applyNumberFormat="1" applyFont="1" applyBorder="1" applyAlignment="1" applyProtection="1">
      <alignment horizontal="center" vertical="center"/>
      <protection locked="0"/>
    </xf>
    <xf numFmtId="166" fontId="13" fillId="0" borderId="0" xfId="0" applyNumberFormat="1" applyFont="1" applyAlignment="1" applyProtection="1">
      <alignment horizontal="center" vertical="center"/>
      <protection locked="0"/>
    </xf>
    <xf numFmtId="0" fontId="14" fillId="6" borderId="0" xfId="0" applyFont="1" applyFill="1"/>
    <xf numFmtId="0" fontId="13" fillId="0" borderId="3" xfId="0" applyFont="1" applyBorder="1"/>
    <xf numFmtId="0" fontId="13" fillId="0" borderId="3" xfId="0" applyFont="1" applyBorder="1" applyAlignment="1">
      <alignment horizontal="center"/>
    </xf>
    <xf numFmtId="0" fontId="13" fillId="0" borderId="7" xfId="0" applyFont="1" applyBorder="1" applyAlignment="1">
      <alignment horizontal="center"/>
    </xf>
    <xf numFmtId="2" fontId="2" fillId="6" borderId="0" xfId="1" applyNumberFormat="1" applyFill="1" applyAlignment="1">
      <alignment horizontal="center"/>
    </xf>
    <xf numFmtId="166" fontId="13" fillId="0" borderId="0" xfId="0" applyNumberFormat="1" applyFont="1"/>
    <xf numFmtId="3" fontId="2" fillId="6" borderId="0" xfId="1" applyNumberFormat="1" applyFill="1" applyAlignment="1">
      <alignment horizontal="center"/>
    </xf>
    <xf numFmtId="164" fontId="2" fillId="6" borderId="0" xfId="1" applyNumberFormat="1" applyFill="1"/>
    <xf numFmtId="0" fontId="5" fillId="0" borderId="10" xfId="1" applyFont="1" applyBorder="1" applyAlignment="1" applyProtection="1">
      <alignment horizontal="center"/>
      <protection locked="0"/>
    </xf>
    <xf numFmtId="165" fontId="13" fillId="0" borderId="14" xfId="4" applyNumberFormat="1" applyFont="1" applyFill="1" applyBorder="1" applyAlignment="1">
      <alignment horizontal="center"/>
    </xf>
    <xf numFmtId="165" fontId="13" fillId="0" borderId="5" xfId="4" applyNumberFormat="1" applyFont="1" applyFill="1" applyBorder="1" applyAlignment="1">
      <alignment horizontal="center"/>
    </xf>
    <xf numFmtId="165" fontId="13" fillId="0" borderId="0" xfId="4" applyNumberFormat="1" applyFont="1" applyFill="1" applyBorder="1" applyAlignment="1">
      <alignment horizontal="center"/>
    </xf>
    <xf numFmtId="165" fontId="13" fillId="0" borderId="7" xfId="4" applyNumberFormat="1" applyFont="1" applyFill="1" applyBorder="1" applyAlignment="1">
      <alignment horizontal="center"/>
    </xf>
    <xf numFmtId="1" fontId="13" fillId="0" borderId="6" xfId="0" applyNumberFormat="1" applyFont="1" applyBorder="1" applyAlignment="1">
      <alignment horizontal="center" vertical="center"/>
    </xf>
    <xf numFmtId="1" fontId="13" fillId="0" borderId="0" xfId="0" applyNumberFormat="1" applyFont="1" applyAlignment="1">
      <alignment horizontal="center" vertical="center"/>
    </xf>
    <xf numFmtId="166" fontId="13" fillId="0" borderId="1" xfId="0" applyNumberFormat="1" applyFont="1" applyBorder="1" applyAlignment="1">
      <alignment horizontal="center"/>
    </xf>
    <xf numFmtId="166" fontId="13" fillId="0" borderId="2" xfId="0" applyNumberFormat="1" applyFont="1" applyBorder="1" applyAlignment="1">
      <alignment horizontal="center"/>
    </xf>
    <xf numFmtId="166" fontId="13" fillId="0" borderId="3" xfId="0" applyNumberFormat="1" applyFont="1" applyBorder="1" applyAlignment="1">
      <alignment horizontal="center"/>
    </xf>
    <xf numFmtId="0" fontId="13" fillId="0" borderId="2" xfId="0" applyFont="1" applyBorder="1" applyAlignment="1">
      <alignment horizontal="center" vertical="center"/>
    </xf>
    <xf numFmtId="0" fontId="13" fillId="0" borderId="0" xfId="0" quotePrefix="1" applyFont="1"/>
    <xf numFmtId="165" fontId="13" fillId="0" borderId="6" xfId="4" applyNumberFormat="1" applyFont="1" applyFill="1" applyBorder="1" applyAlignment="1">
      <alignment horizontal="center"/>
    </xf>
    <xf numFmtId="0" fontId="16" fillId="0" borderId="0" xfId="0" applyFont="1" applyAlignment="1">
      <alignment horizontal="right" wrapText="1"/>
    </xf>
    <xf numFmtId="0" fontId="5" fillId="4" borderId="11" xfId="1" applyFont="1" applyFill="1" applyBorder="1" applyAlignment="1">
      <alignment horizontal="left" vertical="center"/>
    </xf>
    <xf numFmtId="0" fontId="17" fillId="6" borderId="0" xfId="0" applyFont="1" applyFill="1"/>
    <xf numFmtId="0" fontId="5" fillId="6" borderId="10" xfId="1" applyFont="1" applyFill="1" applyBorder="1"/>
    <xf numFmtId="0" fontId="4" fillId="6" borderId="10" xfId="1" applyFont="1" applyFill="1" applyBorder="1"/>
    <xf numFmtId="2" fontId="13" fillId="0" borderId="10" xfId="0" applyNumberFormat="1" applyFont="1" applyBorder="1" applyAlignment="1">
      <alignment horizontal="center"/>
    </xf>
    <xf numFmtId="1" fontId="13" fillId="0" borderId="10" xfId="0" applyNumberFormat="1" applyFont="1" applyBorder="1" applyAlignment="1">
      <alignment horizontal="center"/>
    </xf>
    <xf numFmtId="2" fontId="13" fillId="0" borderId="10" xfId="0" applyNumberFormat="1" applyFont="1" applyBorder="1"/>
    <xf numFmtId="1" fontId="13" fillId="0" borderId="10" xfId="0" applyNumberFormat="1" applyFont="1" applyBorder="1"/>
    <xf numFmtId="0" fontId="16" fillId="0" borderId="10" xfId="0" applyFont="1" applyBorder="1" applyAlignment="1">
      <alignment horizontal="left" wrapText="1"/>
    </xf>
    <xf numFmtId="166" fontId="13" fillId="0" borderId="10" xfId="0" applyNumberFormat="1" applyFont="1" applyBorder="1" applyAlignment="1">
      <alignment horizontal="center"/>
    </xf>
    <xf numFmtId="4" fontId="13" fillId="0" borderId="10" xfId="0" applyNumberFormat="1" applyFont="1" applyBorder="1" applyAlignment="1">
      <alignment horizontal="center"/>
    </xf>
    <xf numFmtId="0" fontId="18" fillId="0" borderId="0" xfId="0" applyFont="1"/>
    <xf numFmtId="0" fontId="18" fillId="0" borderId="10" xfId="0" applyFont="1" applyBorder="1" applyAlignment="1">
      <alignment horizontal="center"/>
    </xf>
    <xf numFmtId="1" fontId="18" fillId="0" borderId="10" xfId="0" applyNumberFormat="1" applyFont="1" applyBorder="1" applyAlignment="1">
      <alignment horizontal="center"/>
    </xf>
    <xf numFmtId="0" fontId="19" fillId="0" borderId="10" xfId="0" applyFont="1" applyBorder="1" applyAlignment="1">
      <alignment horizontal="center"/>
    </xf>
    <xf numFmtId="1" fontId="19" fillId="0" borderId="5" xfId="0" applyNumberFormat="1" applyFont="1" applyBorder="1" applyAlignment="1">
      <alignment horizontal="center"/>
    </xf>
    <xf numFmtId="1" fontId="19" fillId="0" borderId="7" xfId="0" applyNumberFormat="1" applyFont="1" applyBorder="1" applyAlignment="1">
      <alignment horizontal="center"/>
    </xf>
    <xf numFmtId="1" fontId="19" fillId="0" borderId="9" xfId="0" applyNumberFormat="1" applyFont="1" applyBorder="1" applyAlignment="1">
      <alignment horizontal="center"/>
    </xf>
    <xf numFmtId="1" fontId="19" fillId="0" borderId="10" xfId="0" applyNumberFormat="1" applyFont="1" applyBorder="1"/>
    <xf numFmtId="1" fontId="19" fillId="0" borderId="10" xfId="0" applyNumberFormat="1" applyFont="1" applyBorder="1" applyAlignment="1">
      <alignment horizontal="center"/>
    </xf>
    <xf numFmtId="0" fontId="13" fillId="2" borderId="10" xfId="0" applyFont="1" applyFill="1" applyBorder="1"/>
    <xf numFmtId="0" fontId="16" fillId="2" borderId="10" xfId="0" applyFont="1" applyFill="1" applyBorder="1" applyAlignment="1">
      <alignment horizontal="right" wrapText="1"/>
    </xf>
    <xf numFmtId="0" fontId="13" fillId="2" borderId="10" xfId="0" applyFont="1" applyFill="1" applyBorder="1" applyAlignment="1">
      <alignment horizontal="center" vertical="center"/>
    </xf>
    <xf numFmtId="3" fontId="13" fillId="0" borderId="10" xfId="0" applyNumberFormat="1" applyFont="1" applyBorder="1" applyAlignment="1">
      <alignment horizontal="center"/>
    </xf>
    <xf numFmtId="3" fontId="5" fillId="5" borderId="6" xfId="1" applyNumberFormat="1" applyFont="1" applyFill="1" applyBorder="1" applyAlignment="1">
      <alignment horizontal="center"/>
    </xf>
    <xf numFmtId="0" fontId="20" fillId="4" borderId="5" xfId="0" applyFont="1" applyFill="1" applyBorder="1" applyAlignment="1">
      <alignment horizontal="center" vertical="center"/>
    </xf>
    <xf numFmtId="9" fontId="21" fillId="0" borderId="1" xfId="4" applyFont="1" applyFill="1" applyBorder="1" applyAlignment="1" applyProtection="1">
      <alignment horizontal="center"/>
      <protection locked="0"/>
    </xf>
    <xf numFmtId="9" fontId="21" fillId="0" borderId="2" xfId="4" applyFont="1" applyFill="1" applyBorder="1" applyAlignment="1" applyProtection="1">
      <alignment horizontal="center"/>
      <protection locked="0"/>
    </xf>
    <xf numFmtId="0" fontId="14" fillId="0" borderId="8" xfId="1" applyFont="1" applyBorder="1" applyAlignment="1" applyProtection="1">
      <alignment horizontal="left"/>
      <protection locked="0"/>
    </xf>
    <xf numFmtId="9" fontId="14" fillId="0" borderId="3" xfId="4" applyFont="1" applyFill="1" applyBorder="1" applyAlignment="1" applyProtection="1">
      <alignment horizontal="center"/>
      <protection locked="0"/>
    </xf>
    <xf numFmtId="0" fontId="5" fillId="4" borderId="10" xfId="1" applyFont="1" applyFill="1" applyBorder="1" applyAlignment="1">
      <alignment horizontal="left"/>
    </xf>
    <xf numFmtId="0" fontId="5" fillId="2" borderId="6" xfId="1" applyFont="1" applyFill="1" applyBorder="1" applyAlignment="1">
      <alignment horizontal="left"/>
    </xf>
    <xf numFmtId="0" fontId="14" fillId="0" borderId="10" xfId="0" applyFont="1" applyBorder="1"/>
    <xf numFmtId="0" fontId="22" fillId="0" borderId="10" xfId="0" applyFont="1" applyBorder="1" applyAlignment="1">
      <alignment horizontal="center"/>
    </xf>
    <xf numFmtId="0" fontId="22" fillId="0" borderId="10" xfId="0" applyFont="1" applyBorder="1" applyAlignment="1">
      <alignment horizontal="center" wrapText="1"/>
    </xf>
    <xf numFmtId="9" fontId="22" fillId="0" borderId="10" xfId="4" applyFont="1" applyFill="1" applyBorder="1" applyAlignment="1">
      <alignment horizontal="center"/>
    </xf>
    <xf numFmtId="4" fontId="22" fillId="0" borderId="10" xfId="0" applyNumberFormat="1" applyFont="1" applyBorder="1" applyAlignment="1">
      <alignment horizontal="center"/>
    </xf>
    <xf numFmtId="0" fontId="22" fillId="0" borderId="8" xfId="0" applyFont="1" applyBorder="1"/>
    <xf numFmtId="0" fontId="22" fillId="0" borderId="9" xfId="0" applyFont="1" applyBorder="1"/>
    <xf numFmtId="0" fontId="22" fillId="0" borderId="8" xfId="0" applyFont="1" applyBorder="1" applyAlignment="1">
      <alignment horizontal="center"/>
    </xf>
    <xf numFmtId="165" fontId="22" fillId="0" borderId="8" xfId="4" applyNumberFormat="1" applyFont="1" applyBorder="1" applyAlignment="1">
      <alignment horizontal="center"/>
    </xf>
    <xf numFmtId="165" fontId="22" fillId="0" borderId="15" xfId="4" applyNumberFormat="1" applyFont="1" applyFill="1" applyBorder="1" applyAlignment="1">
      <alignment horizontal="center"/>
    </xf>
    <xf numFmtId="165" fontId="22" fillId="0" borderId="9" xfId="4" applyNumberFormat="1" applyFont="1" applyFill="1" applyBorder="1" applyAlignment="1">
      <alignment horizontal="center"/>
    </xf>
    <xf numFmtId="0" fontId="22" fillId="0" borderId="10" xfId="0" applyFont="1" applyBorder="1"/>
    <xf numFmtId="0" fontId="22" fillId="0" borderId="0" xfId="0" applyFont="1" applyAlignment="1">
      <alignment horizontal="center"/>
    </xf>
    <xf numFmtId="2" fontId="22" fillId="0" borderId="14" xfId="0" applyNumberFormat="1" applyFont="1" applyBorder="1" applyAlignment="1">
      <alignment horizontal="center"/>
    </xf>
    <xf numFmtId="2" fontId="22" fillId="0" borderId="0" xfId="0" applyNumberFormat="1" applyFont="1" applyAlignment="1">
      <alignment horizontal="center"/>
    </xf>
    <xf numFmtId="0" fontId="22" fillId="0" borderId="5" xfId="0" applyFont="1" applyBorder="1" applyAlignment="1">
      <alignment horizontal="center"/>
    </xf>
    <xf numFmtId="0" fontId="22" fillId="0" borderId="6" xfId="0" applyFont="1" applyBorder="1" applyAlignment="1">
      <alignment horizontal="center"/>
    </xf>
    <xf numFmtId="2" fontId="22" fillId="0" borderId="8" xfId="0" applyNumberFormat="1" applyFont="1" applyBorder="1" applyAlignment="1">
      <alignment horizontal="center"/>
    </xf>
    <xf numFmtId="2" fontId="22" fillId="0" borderId="9" xfId="0" applyNumberFormat="1" applyFont="1" applyBorder="1" applyAlignment="1">
      <alignment horizontal="center"/>
    </xf>
    <xf numFmtId="2" fontId="22" fillId="0" borderId="15" xfId="0" applyNumberFormat="1" applyFont="1" applyBorder="1" applyAlignment="1">
      <alignment horizontal="center"/>
    </xf>
    <xf numFmtId="2" fontId="22" fillId="0" borderId="7" xfId="0" applyNumberFormat="1" applyFont="1" applyBorder="1" applyAlignment="1">
      <alignment horizontal="center"/>
    </xf>
    <xf numFmtId="3" fontId="13" fillId="0" borderId="10" xfId="0" quotePrefix="1" applyNumberFormat="1" applyFont="1" applyBorder="1" applyAlignment="1">
      <alignment horizontal="center"/>
    </xf>
    <xf numFmtId="0" fontId="13" fillId="0" borderId="10" xfId="0" applyFont="1" applyBorder="1" applyAlignment="1">
      <alignment horizontal="center" vertical="center"/>
    </xf>
    <xf numFmtId="2" fontId="13" fillId="0" borderId="10" xfId="0" applyNumberFormat="1" applyFont="1" applyBorder="1" applyAlignment="1">
      <alignment horizontal="center" vertical="center"/>
    </xf>
    <xf numFmtId="4" fontId="13" fillId="0" borderId="10" xfId="0" applyNumberFormat="1" applyFont="1" applyBorder="1" applyAlignment="1">
      <alignment horizontal="center" vertical="center"/>
    </xf>
    <xf numFmtId="3" fontId="13" fillId="0" borderId="10" xfId="0" applyNumberFormat="1" applyFont="1" applyBorder="1" applyAlignment="1">
      <alignment horizontal="center" vertical="center"/>
    </xf>
    <xf numFmtId="0" fontId="18" fillId="0" borderId="10" xfId="0" applyFont="1" applyBorder="1"/>
    <xf numFmtId="0" fontId="18" fillId="0" borderId="10" xfId="0" applyFont="1" applyBorder="1" applyAlignment="1">
      <alignment horizontal="center" vertical="center"/>
    </xf>
    <xf numFmtId="2" fontId="18" fillId="0" borderId="10" xfId="0" applyNumberFormat="1" applyFont="1" applyBorder="1" applyAlignment="1">
      <alignment horizontal="center" vertical="center"/>
    </xf>
    <xf numFmtId="4" fontId="18" fillId="0" borderId="10" xfId="0" applyNumberFormat="1" applyFont="1" applyBorder="1" applyAlignment="1">
      <alignment horizontal="center" vertical="center"/>
    </xf>
    <xf numFmtId="3" fontId="18" fillId="0" borderId="10" xfId="0" applyNumberFormat="1" applyFont="1" applyBorder="1" applyAlignment="1">
      <alignment horizontal="center" vertical="center"/>
    </xf>
    <xf numFmtId="166" fontId="18" fillId="0" borderId="10" xfId="0" applyNumberFormat="1" applyFont="1" applyBorder="1" applyAlignment="1">
      <alignment horizontal="center" vertical="center"/>
    </xf>
    <xf numFmtId="3" fontId="18" fillId="0" borderId="10" xfId="0" quotePrefix="1" applyNumberFormat="1" applyFont="1" applyBorder="1" applyAlignment="1">
      <alignment horizontal="center" vertical="center"/>
    </xf>
    <xf numFmtId="2" fontId="18" fillId="0" borderId="10" xfId="0" applyNumberFormat="1" applyFont="1" applyBorder="1" applyAlignment="1">
      <alignment horizontal="center"/>
    </xf>
    <xf numFmtId="166" fontId="18" fillId="0" borderId="10" xfId="0" applyNumberFormat="1" applyFont="1" applyBorder="1" applyAlignment="1">
      <alignment horizontal="center"/>
    </xf>
    <xf numFmtId="166" fontId="13" fillId="0" borderId="10" xfId="0" applyNumberFormat="1" applyFont="1" applyBorder="1" applyAlignment="1">
      <alignment horizontal="center" vertical="center"/>
    </xf>
    <xf numFmtId="3" fontId="13" fillId="0" borderId="10" xfId="0" quotePrefix="1" applyNumberFormat="1" applyFont="1" applyBorder="1" applyAlignment="1">
      <alignment horizontal="center" vertical="center"/>
    </xf>
    <xf numFmtId="3" fontId="18" fillId="0" borderId="10" xfId="0" applyNumberFormat="1" applyFont="1" applyBorder="1" applyAlignment="1">
      <alignment horizontal="center"/>
    </xf>
    <xf numFmtId="44" fontId="18" fillId="0" borderId="10" xfId="0" applyNumberFormat="1" applyFont="1" applyBorder="1"/>
    <xf numFmtId="0" fontId="13" fillId="2" borderId="10" xfId="0" applyFont="1" applyFill="1" applyBorder="1" applyAlignment="1">
      <alignment vertical="center"/>
    </xf>
    <xf numFmtId="0" fontId="18" fillId="2" borderId="10" xfId="0" applyFont="1" applyFill="1" applyBorder="1"/>
    <xf numFmtId="0" fontId="2" fillId="2" borderId="10" xfId="0" applyFont="1" applyFill="1" applyBorder="1" applyAlignment="1">
      <alignment horizontal="right" wrapText="1"/>
    </xf>
    <xf numFmtId="0" fontId="18" fillId="2" borderId="10" xfId="0" applyFont="1" applyFill="1" applyBorder="1" applyAlignment="1">
      <alignment horizontal="center" vertical="center"/>
    </xf>
    <xf numFmtId="0" fontId="18" fillId="2" borderId="10" xfId="0" applyFont="1" applyFill="1" applyBorder="1" applyAlignment="1">
      <alignment horizontal="left"/>
    </xf>
    <xf numFmtId="0" fontId="8" fillId="2" borderId="10" xfId="0" applyFont="1" applyFill="1" applyBorder="1" applyAlignment="1">
      <alignment horizontal="right" vertical="center"/>
    </xf>
    <xf numFmtId="1" fontId="5" fillId="5" borderId="10" xfId="1" applyNumberFormat="1" applyFont="1" applyFill="1" applyBorder="1" applyAlignment="1">
      <alignment horizontal="center"/>
    </xf>
    <xf numFmtId="1" fontId="22" fillId="2" borderId="14" xfId="0" applyNumberFormat="1" applyFont="1" applyFill="1" applyBorder="1" applyAlignment="1">
      <alignment horizontal="center"/>
    </xf>
    <xf numFmtId="1" fontId="22" fillId="2" borderId="10" xfId="0" applyNumberFormat="1" applyFont="1" applyFill="1" applyBorder="1" applyAlignment="1">
      <alignment horizontal="center"/>
    </xf>
    <xf numFmtId="0" fontId="22" fillId="2" borderId="10" xfId="0" applyFont="1" applyFill="1" applyBorder="1"/>
    <xf numFmtId="1" fontId="22" fillId="2" borderId="0" xfId="0" applyNumberFormat="1" applyFont="1" applyFill="1" applyAlignment="1">
      <alignment horizontal="center"/>
    </xf>
    <xf numFmtId="1" fontId="22" fillId="2" borderId="7" xfId="0" applyNumberFormat="1" applyFont="1" applyFill="1" applyBorder="1" applyAlignment="1">
      <alignment horizontal="center"/>
    </xf>
    <xf numFmtId="1" fontId="22" fillId="2" borderId="13" xfId="0" applyNumberFormat="1" applyFont="1" applyFill="1" applyBorder="1" applyAlignment="1">
      <alignment horizontal="center"/>
    </xf>
    <xf numFmtId="1" fontId="22" fillId="2" borderId="9" xfId="0" applyNumberFormat="1" applyFont="1" applyFill="1" applyBorder="1" applyAlignment="1">
      <alignment horizontal="center"/>
    </xf>
    <xf numFmtId="2" fontId="22" fillId="2" borderId="10" xfId="0" applyNumberFormat="1" applyFont="1" applyFill="1" applyBorder="1" applyAlignment="1">
      <alignment horizontal="center"/>
    </xf>
    <xf numFmtId="0" fontId="14" fillId="4" borderId="10" xfId="1" applyFont="1" applyFill="1" applyBorder="1" applyAlignment="1">
      <alignment horizontal="left"/>
    </xf>
    <xf numFmtId="2" fontId="13" fillId="8" borderId="4" xfId="0" applyNumberFormat="1" applyFont="1" applyFill="1" applyBorder="1" applyAlignment="1">
      <alignment horizontal="center"/>
    </xf>
    <xf numFmtId="2" fontId="13" fillId="8" borderId="14" xfId="0" applyNumberFormat="1" applyFont="1" applyFill="1" applyBorder="1" applyAlignment="1">
      <alignment horizontal="center"/>
    </xf>
    <xf numFmtId="2" fontId="22" fillId="8" borderId="5" xfId="0" applyNumberFormat="1" applyFont="1" applyFill="1" applyBorder="1" applyAlignment="1">
      <alignment horizontal="center"/>
    </xf>
    <xf numFmtId="2" fontId="13" fillId="8" borderId="6" xfId="0" applyNumberFormat="1" applyFont="1" applyFill="1" applyBorder="1" applyAlignment="1">
      <alignment horizontal="center"/>
    </xf>
    <xf numFmtId="2" fontId="13" fillId="8" borderId="0" xfId="0" applyNumberFormat="1" applyFont="1" applyFill="1" applyAlignment="1">
      <alignment horizontal="center"/>
    </xf>
    <xf numFmtId="2" fontId="22" fillId="8" borderId="7" xfId="0" applyNumberFormat="1" applyFont="1" applyFill="1" applyBorder="1" applyAlignment="1">
      <alignment horizontal="center"/>
    </xf>
    <xf numFmtId="2" fontId="22" fillId="8" borderId="15" xfId="0" applyNumberFormat="1" applyFont="1" applyFill="1" applyBorder="1" applyAlignment="1">
      <alignment horizontal="center"/>
    </xf>
    <xf numFmtId="2" fontId="22" fillId="8" borderId="9" xfId="0" applyNumberFormat="1" applyFont="1" applyFill="1" applyBorder="1" applyAlignment="1">
      <alignment horizontal="center"/>
    </xf>
    <xf numFmtId="3" fontId="5" fillId="0" borderId="10" xfId="1" applyNumberFormat="1" applyFont="1" applyBorder="1" applyAlignment="1" applyProtection="1">
      <alignment horizontal="center"/>
      <protection locked="0"/>
    </xf>
    <xf numFmtId="3" fontId="14" fillId="0" borderId="10" xfId="1" applyNumberFormat="1" applyFont="1" applyBorder="1" applyAlignment="1" applyProtection="1">
      <alignment horizontal="center"/>
      <protection locked="0"/>
    </xf>
    <xf numFmtId="0" fontId="13" fillId="2" borderId="10" xfId="0" applyFont="1" applyFill="1" applyBorder="1" applyAlignment="1">
      <alignment horizontal="right" vertical="center"/>
    </xf>
    <xf numFmtId="0" fontId="4" fillId="6" borderId="10" xfId="1" applyFont="1" applyFill="1" applyBorder="1" applyAlignment="1">
      <alignment horizontal="center"/>
    </xf>
    <xf numFmtId="0" fontId="14" fillId="7" borderId="10" xfId="0" applyFont="1" applyFill="1" applyBorder="1" applyAlignment="1" applyProtection="1">
      <alignment horizontal="center"/>
      <protection locked="0"/>
    </xf>
    <xf numFmtId="0" fontId="13" fillId="0" borderId="11" xfId="0" applyFont="1" applyBorder="1" applyAlignment="1">
      <alignment horizontal="center"/>
    </xf>
    <xf numFmtId="0" fontId="13" fillId="0" borderId="12" xfId="0" applyFont="1" applyBorder="1" applyAlignment="1">
      <alignment horizontal="center"/>
    </xf>
    <xf numFmtId="0" fontId="13" fillId="0" borderId="13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0" fontId="8" fillId="6" borderId="0" xfId="1" applyFont="1" applyFill="1" applyAlignment="1">
      <alignment horizontal="left" vertical="top" wrapText="1"/>
    </xf>
    <xf numFmtId="0" fontId="7" fillId="3" borderId="11" xfId="1" applyFont="1" applyFill="1" applyBorder="1" applyAlignment="1">
      <alignment horizontal="center"/>
    </xf>
    <xf numFmtId="0" fontId="7" fillId="3" borderId="15" xfId="1" applyFont="1" applyFill="1" applyBorder="1" applyAlignment="1">
      <alignment horizontal="center"/>
    </xf>
    <xf numFmtId="0" fontId="7" fillId="3" borderId="9" xfId="1" applyFont="1" applyFill="1" applyBorder="1" applyAlignment="1">
      <alignment horizontal="center"/>
    </xf>
    <xf numFmtId="3" fontId="5" fillId="5" borderId="11" xfId="1" applyNumberFormat="1" applyFont="1" applyFill="1" applyBorder="1" applyAlignment="1">
      <alignment horizontal="center"/>
    </xf>
    <xf numFmtId="3" fontId="5" fillId="5" borderId="13" xfId="1" applyNumberFormat="1" applyFont="1" applyFill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14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4" fillId="0" borderId="10" xfId="0" applyFont="1" applyBorder="1" applyAlignment="1" applyProtection="1">
      <alignment horizontal="center"/>
      <protection locked="0"/>
    </xf>
    <xf numFmtId="167" fontId="9" fillId="6" borderId="10" xfId="0" applyNumberFormat="1" applyFont="1" applyFill="1" applyBorder="1" applyAlignment="1">
      <alignment horizontal="center"/>
    </xf>
    <xf numFmtId="0" fontId="4" fillId="2" borderId="11" xfId="1" applyFont="1" applyFill="1" applyBorder="1" applyAlignment="1">
      <alignment horizontal="center"/>
    </xf>
    <xf numFmtId="0" fontId="4" fillId="2" borderId="12" xfId="1" applyFont="1" applyFill="1" applyBorder="1" applyAlignment="1">
      <alignment horizontal="center"/>
    </xf>
    <xf numFmtId="0" fontId="4" fillId="2" borderId="13" xfId="1" applyFont="1" applyFill="1" applyBorder="1" applyAlignment="1">
      <alignment horizontal="center"/>
    </xf>
    <xf numFmtId="0" fontId="13" fillId="0" borderId="0" xfId="0" applyFont="1" applyAlignment="1">
      <alignment horizontal="center"/>
    </xf>
    <xf numFmtId="0" fontId="4" fillId="2" borderId="4" xfId="1" applyFont="1" applyFill="1" applyBorder="1" applyAlignment="1">
      <alignment horizontal="center"/>
    </xf>
    <xf numFmtId="0" fontId="4" fillId="2" borderId="14" xfId="1" applyFont="1" applyFill="1" applyBorder="1" applyAlignment="1">
      <alignment horizontal="center"/>
    </xf>
    <xf numFmtId="0" fontId="4" fillId="2" borderId="5" xfId="1" applyFont="1" applyFill="1" applyBorder="1" applyAlignment="1">
      <alignment horizontal="center"/>
    </xf>
    <xf numFmtId="0" fontId="5" fillId="6" borderId="0" xfId="1" applyFont="1" applyFill="1" applyAlignment="1">
      <alignment horizontal="left" vertical="top" wrapText="1"/>
    </xf>
    <xf numFmtId="0" fontId="7" fillId="3" borderId="12" xfId="1" applyFont="1" applyFill="1" applyBorder="1" applyAlignment="1">
      <alignment horizontal="center"/>
    </xf>
    <xf numFmtId="3" fontId="13" fillId="0" borderId="1" xfId="0" applyNumberFormat="1" applyFont="1" applyBorder="1" applyAlignment="1">
      <alignment horizontal="center"/>
    </xf>
    <xf numFmtId="3" fontId="13" fillId="0" borderId="2" xfId="0" applyNumberFormat="1" applyFont="1" applyBorder="1" applyAlignment="1">
      <alignment horizontal="center"/>
    </xf>
    <xf numFmtId="3" fontId="13" fillId="0" borderId="3" xfId="0" applyNumberFormat="1" applyFont="1" applyBorder="1" applyAlignment="1">
      <alignment horizontal="center"/>
    </xf>
    <xf numFmtId="0" fontId="4" fillId="3" borderId="15" xfId="1" applyFont="1" applyFill="1" applyBorder="1" applyAlignment="1">
      <alignment horizontal="center"/>
    </xf>
    <xf numFmtId="0" fontId="4" fillId="3" borderId="9" xfId="1" applyFont="1" applyFill="1" applyBorder="1" applyAlignment="1">
      <alignment horizontal="center"/>
    </xf>
    <xf numFmtId="0" fontId="4" fillId="5" borderId="11" xfId="1" applyFont="1" applyFill="1" applyBorder="1" applyAlignment="1">
      <alignment horizontal="center"/>
    </xf>
    <xf numFmtId="0" fontId="4" fillId="5" borderId="12" xfId="1" applyFont="1" applyFill="1" applyBorder="1" applyAlignment="1">
      <alignment horizontal="center"/>
    </xf>
  </cellXfs>
  <cellStyles count="5">
    <cellStyle name="Currency 2" xfId="2" xr:uid="{00000000-0005-0000-0000-000000000000}"/>
    <cellStyle name="Normal" xfId="0" builtinId="0"/>
    <cellStyle name="Normal 2" xfId="3" xr:uid="{00000000-0005-0000-0000-000002000000}"/>
    <cellStyle name="Normal 3" xfId="1" xr:uid="{00000000-0005-0000-0000-000003000000}"/>
    <cellStyle name="Percent" xfId="4" builtinId="5"/>
  </cellStyles>
  <dxfs count="0"/>
  <tableStyles count="0" defaultTableStyle="TableStyleMedium2" defaultPivotStyle="PivotStyleLight16"/>
  <colors>
    <mruColors>
      <color rgb="FFFF0000"/>
      <color rgb="FFF00000"/>
      <color rgb="FFDDF456"/>
      <color rgb="FFAAD39F"/>
      <color rgb="FFDCF456"/>
      <color rgb="FFCC00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207310</xdr:colOff>
      <xdr:row>0</xdr:row>
      <xdr:rowOff>0</xdr:rowOff>
    </xdr:from>
    <xdr:to>
      <xdr:col>1</xdr:col>
      <xdr:colOff>2325348</xdr:colOff>
      <xdr:row>4</xdr:row>
      <xdr:rowOff>2490</xdr:rowOff>
    </xdr:to>
    <xdr:pic>
      <xdr:nvPicPr>
        <xdr:cNvPr id="12" name="Content Placeholder 3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 noGrp="1"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0310" y="0"/>
          <a:ext cx="2118038" cy="722157"/>
        </a:xfrm>
        <a:prstGeom prst="rect">
          <a:avLst/>
        </a:prstGeom>
        <a:gradFill rotWithShape="1">
          <a:gsLst>
            <a:gs pos="0">
              <a:srgbClr val="FEE7F2"/>
            </a:gs>
            <a:gs pos="17999">
              <a:srgbClr val="FBEAC7"/>
            </a:gs>
            <a:gs pos="36000">
              <a:srgbClr val="FAC77D"/>
            </a:gs>
            <a:gs pos="61000">
              <a:srgbClr val="FBA97D"/>
            </a:gs>
            <a:gs pos="75000">
              <a:srgbClr val="FEE7F2"/>
            </a:gs>
            <a:gs pos="82001">
              <a:srgbClr val="FBD49C"/>
            </a:gs>
            <a:gs pos="100000">
              <a:srgbClr val="FBD49C"/>
            </a:gs>
          </a:gsLst>
          <a:lin ang="10800000"/>
        </a:gra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575581</xdr:colOff>
      <xdr:row>0</xdr:row>
      <xdr:rowOff>110075</xdr:rowOff>
    </xdr:from>
    <xdr:to>
      <xdr:col>6</xdr:col>
      <xdr:colOff>245533</xdr:colOff>
      <xdr:row>5</xdr:row>
      <xdr:rowOff>127001</xdr:rowOff>
    </xdr:to>
    <xdr:pic>
      <xdr:nvPicPr>
        <xdr:cNvPr id="11" name="Picture 2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75248" y="110075"/>
          <a:ext cx="1515685" cy="905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2472267</xdr:colOff>
      <xdr:row>0</xdr:row>
      <xdr:rowOff>42334</xdr:rowOff>
    </xdr:from>
    <xdr:to>
      <xdr:col>3</xdr:col>
      <xdr:colOff>279400</xdr:colOff>
      <xdr:row>6</xdr:row>
      <xdr:rowOff>20509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3649134" y="42334"/>
          <a:ext cx="1396999" cy="1044975"/>
        </a:xfrm>
        <a:prstGeom prst="rect">
          <a:avLst/>
        </a:prstGeom>
      </xdr:spPr>
    </xdr:pic>
    <xdr:clientData/>
  </xdr:twoCellAnchor>
  <xdr:twoCellAnchor>
    <xdr:from>
      <xdr:col>3</xdr:col>
      <xdr:colOff>304800</xdr:colOff>
      <xdr:row>0</xdr:row>
      <xdr:rowOff>110066</xdr:rowOff>
    </xdr:from>
    <xdr:to>
      <xdr:col>4</xdr:col>
      <xdr:colOff>527049</xdr:colOff>
      <xdr:row>5</xdr:row>
      <xdr:rowOff>131233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5071533" y="110066"/>
          <a:ext cx="1255183" cy="910167"/>
        </a:xfrm>
        <a:prstGeom prst="rect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80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Central Zone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36</xdr:row>
          <xdr:rowOff>88900</xdr:rowOff>
        </xdr:from>
        <xdr:to>
          <xdr:col>1</xdr:col>
          <xdr:colOff>1657350</xdr:colOff>
          <xdr:row>38</xdr:row>
          <xdr:rowOff>0</xdr:rowOff>
        </xdr:to>
        <xdr:sp macro="" textlink="">
          <xdr:nvSpPr>
            <xdr:cNvPr id="1026" name="Butto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5720" rIns="45720" bIns="45720" anchor="ctr" upright="1"/>
            <a:lstStyle/>
            <a:p>
              <a:pPr algn="ctr" rtl="0">
                <a:defRPr sz="1000"/>
              </a:pPr>
              <a:r>
                <a:rPr lang="en-US" sz="14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Optimize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431800</xdr:colOff>
          <xdr:row>36</xdr:row>
          <xdr:rowOff>76200</xdr:rowOff>
        </xdr:from>
        <xdr:to>
          <xdr:col>3</xdr:col>
          <xdr:colOff>755650</xdr:colOff>
          <xdr:row>38</xdr:row>
          <xdr:rowOff>0</xdr:rowOff>
        </xdr:to>
        <xdr:sp macro="" textlink="">
          <xdr:nvSpPr>
            <xdr:cNvPr id="1032" name="Butto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5720" rIns="45720" bIns="45720" anchor="ctr" upright="1"/>
            <a:lstStyle/>
            <a:p>
              <a:pPr algn="ctr" rtl="0">
                <a:defRPr sz="1000"/>
              </a:pPr>
              <a:r>
                <a:rPr lang="en-US" sz="14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Reset Form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266700</xdr:colOff>
          <xdr:row>4</xdr:row>
          <xdr:rowOff>0</xdr:rowOff>
        </xdr:from>
        <xdr:to>
          <xdr:col>1</xdr:col>
          <xdr:colOff>1765300</xdr:colOff>
          <xdr:row>5</xdr:row>
          <xdr:rowOff>152400</xdr:rowOff>
        </xdr:to>
        <xdr:sp macro="" textlink="">
          <xdr:nvSpPr>
            <xdr:cNvPr id="1034" name="Butto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5720" rIns="45720" bIns="45720" anchor="ctr" upright="1"/>
            <a:lstStyle/>
            <a:p>
              <a:pPr algn="ctr" rtl="0">
                <a:defRPr sz="1000"/>
              </a:pPr>
              <a:r>
                <a:rPr lang="en-US" sz="14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Help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64</xdr:row>
          <xdr:rowOff>95250</xdr:rowOff>
        </xdr:from>
        <xdr:to>
          <xdr:col>1</xdr:col>
          <xdr:colOff>1657350</xdr:colOff>
          <xdr:row>65</xdr:row>
          <xdr:rowOff>222250</xdr:rowOff>
        </xdr:to>
        <xdr:sp macro="" textlink="">
          <xdr:nvSpPr>
            <xdr:cNvPr id="1039" name="Butto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5720" rIns="45720" bIns="45720" anchor="ctr" upright="1"/>
            <a:lstStyle/>
            <a:p>
              <a:pPr algn="ctr" rtl="0">
                <a:defRPr sz="1000"/>
              </a:pPr>
              <a:r>
                <a:rPr lang="en-US" sz="14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Print Output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76200</xdr:colOff>
          <xdr:row>2</xdr:row>
          <xdr:rowOff>95250</xdr:rowOff>
        </xdr:from>
        <xdr:to>
          <xdr:col>11</xdr:col>
          <xdr:colOff>1657350</xdr:colOff>
          <xdr:row>4</xdr:row>
          <xdr:rowOff>0</xdr:rowOff>
        </xdr:to>
        <xdr:sp macro="" textlink="">
          <xdr:nvSpPr>
            <xdr:cNvPr id="1040" name="Butto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5720" rIns="45720" bIns="45720" anchor="ctr" upright="1"/>
            <a:lstStyle/>
            <a:p>
              <a:pPr algn="ctr" rtl="0">
                <a:defRPr sz="1000"/>
              </a:pPr>
              <a:r>
                <a:rPr lang="en-US" sz="14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Hide &amp; Protect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U41"/>
  <sheetViews>
    <sheetView showGridLines="0" workbookViewId="0"/>
  </sheetViews>
  <sheetFormatPr defaultRowHeight="14.5" x14ac:dyDescent="0.35"/>
  <cols>
    <col min="1" max="1" width="9.1796875"/>
  </cols>
  <sheetData>
    <row r="1" spans="1:21" ht="18.5" x14ac:dyDescent="0.45">
      <c r="A1" s="12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</row>
    <row r="2" spans="1:21" ht="18.5" x14ac:dyDescent="0.45">
      <c r="A2" s="12"/>
      <c r="B2" s="28" t="s">
        <v>89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</row>
    <row r="3" spans="1:21" ht="18.5" x14ac:dyDescent="0.45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</row>
    <row r="4" spans="1:21" ht="18.5" x14ac:dyDescent="0.45">
      <c r="A4" s="12"/>
      <c r="B4" s="12" t="s">
        <v>86</v>
      </c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</row>
    <row r="5" spans="1:21" ht="18.5" x14ac:dyDescent="0.45">
      <c r="A5" s="12"/>
      <c r="B5" s="12" t="s">
        <v>66</v>
      </c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</row>
    <row r="6" spans="1:21" ht="18.5" x14ac:dyDescent="0.45">
      <c r="A6" s="12"/>
      <c r="B6" s="12" t="s">
        <v>67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</row>
    <row r="7" spans="1:21" ht="18.5" x14ac:dyDescent="0.45">
      <c r="A7" s="12"/>
      <c r="B7" s="12" t="s">
        <v>68</v>
      </c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</row>
    <row r="8" spans="1:21" ht="18.5" x14ac:dyDescent="0.45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</row>
    <row r="9" spans="1:21" ht="18.5" x14ac:dyDescent="0.45">
      <c r="A9" s="12"/>
      <c r="B9" s="12" t="s">
        <v>90</v>
      </c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</row>
    <row r="10" spans="1:21" ht="18.5" x14ac:dyDescent="0.45">
      <c r="A10" s="12"/>
      <c r="B10" s="12" t="s">
        <v>79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</row>
    <row r="11" spans="1:21" ht="18.5" x14ac:dyDescent="0.45">
      <c r="A11" s="12"/>
      <c r="B11" s="12" t="s">
        <v>80</v>
      </c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</row>
    <row r="12" spans="1:21" ht="18.5" x14ac:dyDescent="0.45">
      <c r="A12" s="12"/>
      <c r="B12" s="12" t="s">
        <v>88</v>
      </c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</row>
    <row r="13" spans="1:21" ht="18.5" x14ac:dyDescent="0.45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</row>
    <row r="14" spans="1:21" ht="18.5" x14ac:dyDescent="0.45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</row>
    <row r="15" spans="1:21" ht="18.5" x14ac:dyDescent="0.45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</row>
    <row r="16" spans="1:21" ht="18.5" x14ac:dyDescent="0.45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</row>
    <row r="17" spans="1:21" ht="15" customHeight="1" x14ac:dyDescent="0.45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</row>
    <row r="18" spans="1:21" ht="18.5" x14ac:dyDescent="0.45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</row>
    <row r="19" spans="1:21" ht="18.5" x14ac:dyDescent="0.45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</row>
    <row r="20" spans="1:21" ht="18.5" x14ac:dyDescent="0.45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</row>
    <row r="21" spans="1:21" ht="18.5" x14ac:dyDescent="0.45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</row>
    <row r="22" spans="1:21" ht="18.5" x14ac:dyDescent="0.45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</row>
    <row r="23" spans="1:21" ht="18.5" x14ac:dyDescent="0.45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</row>
    <row r="24" spans="1:21" ht="18.5" x14ac:dyDescent="0.45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</row>
    <row r="25" spans="1:21" ht="18.5" x14ac:dyDescent="0.45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</row>
    <row r="26" spans="1:21" ht="18.5" x14ac:dyDescent="0.45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</row>
    <row r="27" spans="1:21" ht="18.5" x14ac:dyDescent="0.45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</row>
    <row r="28" spans="1:21" ht="18.5" x14ac:dyDescent="0.45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</row>
    <row r="29" spans="1:21" ht="18.5" x14ac:dyDescent="0.45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</row>
    <row r="30" spans="1:21" ht="18.5" x14ac:dyDescent="0.45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</row>
    <row r="31" spans="1:21" ht="18.5" x14ac:dyDescent="0.45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</row>
    <row r="32" spans="1:21" ht="18.5" x14ac:dyDescent="0.45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</row>
    <row r="33" spans="1:21" ht="18.5" x14ac:dyDescent="0.45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</row>
    <row r="34" spans="1:21" ht="18.5" x14ac:dyDescent="0.45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</row>
    <row r="35" spans="1:21" ht="18.5" x14ac:dyDescent="0.45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</row>
    <row r="36" spans="1:21" ht="18.5" x14ac:dyDescent="0.45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</row>
    <row r="37" spans="1:21" ht="18.5" x14ac:dyDescent="0.45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</row>
    <row r="38" spans="1:21" ht="18.5" x14ac:dyDescent="0.45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</row>
    <row r="39" spans="1:21" ht="18.5" x14ac:dyDescent="0.45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</row>
    <row r="40" spans="1:21" ht="18.5" x14ac:dyDescent="0.45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</row>
    <row r="41" spans="1:21" ht="18.5" x14ac:dyDescent="0.45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</row>
  </sheetData>
  <sheetProtection password="C75C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AK98"/>
  <sheetViews>
    <sheetView showGridLines="0" tabSelected="1" zoomScale="90" zoomScaleNormal="90" workbookViewId="0">
      <selection activeCell="C10" sqref="C10:D10"/>
    </sheetView>
  </sheetViews>
  <sheetFormatPr defaultColWidth="9.1796875" defaultRowHeight="14" x14ac:dyDescent="0.3"/>
  <cols>
    <col min="1" max="1" width="17.1796875" style="42" customWidth="1"/>
    <col min="2" max="2" width="37.7265625" style="42" customWidth="1"/>
    <col min="3" max="3" width="14.7265625" style="42" customWidth="1"/>
    <col min="4" max="4" width="15" style="42" customWidth="1"/>
    <col min="5" max="7" width="13.453125" style="42" customWidth="1"/>
    <col min="8" max="8" width="13.1796875" style="42" customWidth="1"/>
    <col min="9" max="9" width="9.1796875" style="42" customWidth="1"/>
    <col min="10" max="10" width="17.81640625" style="42" customWidth="1"/>
    <col min="11" max="11" width="9.1796875" style="42" customWidth="1"/>
    <col min="12" max="12" width="32.81640625" style="42" hidden="1" customWidth="1"/>
    <col min="13" max="13" width="12" style="42" hidden="1" customWidth="1"/>
    <col min="14" max="14" width="23" style="42" hidden="1" customWidth="1"/>
    <col min="15" max="16" width="18.81640625" style="42" hidden="1" customWidth="1"/>
    <col min="17" max="17" width="20.1796875" style="42" hidden="1" customWidth="1"/>
    <col min="18" max="18" width="18.1796875" style="42" hidden="1" customWidth="1"/>
    <col min="19" max="19" width="21.7265625" style="42" hidden="1" customWidth="1"/>
    <col min="20" max="20" width="24.453125" style="42" hidden="1" customWidth="1"/>
    <col min="21" max="21" width="19.54296875" style="42" hidden="1" customWidth="1"/>
    <col min="22" max="22" width="17.453125" style="42" hidden="1" customWidth="1"/>
    <col min="23" max="23" width="13.1796875" style="42" hidden="1" customWidth="1"/>
    <col min="24" max="24" width="12.81640625" style="42" hidden="1" customWidth="1"/>
    <col min="25" max="25" width="14.81640625" style="42" hidden="1" customWidth="1"/>
    <col min="26" max="26" width="14.7265625" style="42" hidden="1" customWidth="1"/>
    <col min="27" max="27" width="14.453125" style="42" hidden="1" customWidth="1"/>
    <col min="28" max="29" width="12.26953125" style="42" hidden="1" customWidth="1"/>
    <col min="30" max="30" width="11.81640625" style="42" hidden="1" customWidth="1"/>
    <col min="31" max="31" width="11.54296875" style="108" hidden="1" customWidth="1"/>
    <col min="32" max="32" width="11.54296875" style="42" hidden="1" customWidth="1"/>
    <col min="33" max="33" width="11.81640625" style="42" hidden="1" customWidth="1"/>
    <col min="34" max="35" width="11.54296875" style="42" hidden="1" customWidth="1"/>
    <col min="36" max="16384" width="9.1796875" style="42"/>
  </cols>
  <sheetData>
    <row r="1" spans="1:37" x14ac:dyDescent="0.3">
      <c r="A1" s="41"/>
      <c r="B1" s="41"/>
      <c r="C1" s="41"/>
      <c r="D1" s="41"/>
      <c r="E1" s="41"/>
      <c r="F1" s="41"/>
      <c r="G1" s="41"/>
      <c r="H1" s="41"/>
      <c r="I1" s="41"/>
      <c r="J1" s="41"/>
      <c r="K1" s="41"/>
      <c r="AJ1" s="41"/>
      <c r="AK1" s="41"/>
    </row>
    <row r="2" spans="1:37" x14ac:dyDescent="0.3">
      <c r="A2" s="41"/>
      <c r="B2" s="41"/>
      <c r="C2" s="41"/>
      <c r="D2" s="41"/>
      <c r="E2" s="41"/>
      <c r="F2" s="41"/>
      <c r="G2" s="41"/>
      <c r="H2" s="41"/>
      <c r="I2" s="41"/>
      <c r="J2" s="41"/>
      <c r="K2" s="41"/>
      <c r="AJ2" s="41"/>
      <c r="AK2" s="41"/>
    </row>
    <row r="3" spans="1:37" x14ac:dyDescent="0.3">
      <c r="A3" s="41"/>
      <c r="B3" s="41"/>
      <c r="C3" s="41"/>
      <c r="D3" s="41"/>
      <c r="E3" s="41"/>
      <c r="F3" s="41"/>
      <c r="G3" s="41"/>
      <c r="H3" s="41"/>
      <c r="I3" s="41"/>
      <c r="J3" s="41"/>
      <c r="K3" s="41"/>
      <c r="AJ3" s="41"/>
      <c r="AK3" s="41"/>
    </row>
    <row r="4" spans="1:37" x14ac:dyDescent="0.3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P4" s="94"/>
      <c r="AJ4" s="41"/>
      <c r="AK4" s="41"/>
    </row>
    <row r="5" spans="1:37" x14ac:dyDescent="0.3">
      <c r="A5" s="41"/>
      <c r="B5" s="41"/>
      <c r="C5" s="41"/>
      <c r="D5" s="41"/>
      <c r="E5" s="41"/>
      <c r="F5" s="41"/>
      <c r="G5" s="41"/>
      <c r="H5" s="41"/>
      <c r="I5" s="41"/>
      <c r="J5" s="41"/>
      <c r="K5" s="41"/>
      <c r="AJ5" s="41"/>
      <c r="AK5" s="41"/>
    </row>
    <row r="6" spans="1:37" x14ac:dyDescent="0.3">
      <c r="A6" s="41"/>
      <c r="B6" s="41"/>
      <c r="C6" s="41"/>
      <c r="D6" s="41"/>
      <c r="E6" s="41"/>
      <c r="F6" s="41"/>
      <c r="G6" s="41"/>
      <c r="H6" s="41"/>
      <c r="I6" s="41"/>
      <c r="J6" s="41"/>
      <c r="K6" s="41"/>
      <c r="AJ6" s="41"/>
      <c r="AK6" s="41"/>
    </row>
    <row r="7" spans="1:37" x14ac:dyDescent="0.3">
      <c r="A7" s="41"/>
      <c r="B7" s="41"/>
      <c r="C7" s="41"/>
      <c r="D7" s="41"/>
      <c r="E7" s="41"/>
      <c r="F7" s="41"/>
      <c r="G7" s="41"/>
      <c r="H7" s="41"/>
      <c r="I7" s="41"/>
      <c r="J7" s="41"/>
      <c r="K7" s="41"/>
      <c r="AJ7" s="41"/>
      <c r="AK7" s="41"/>
    </row>
    <row r="8" spans="1:37" ht="32.5" customHeight="1" x14ac:dyDescent="0.4">
      <c r="A8" s="41"/>
      <c r="B8" s="41"/>
      <c r="C8" s="41"/>
      <c r="D8" s="98"/>
      <c r="E8" s="98"/>
      <c r="F8" s="98"/>
      <c r="G8" s="98"/>
      <c r="H8" s="41"/>
      <c r="I8" s="41"/>
      <c r="J8" s="41"/>
      <c r="K8" s="41"/>
      <c r="N8" s="43" t="s">
        <v>18</v>
      </c>
      <c r="O8" s="44"/>
      <c r="P8" s="45" t="s">
        <v>60</v>
      </c>
      <c r="Q8" s="46" t="s">
        <v>19</v>
      </c>
      <c r="R8" s="46" t="s">
        <v>21</v>
      </c>
      <c r="S8" s="47" t="s">
        <v>20</v>
      </c>
      <c r="T8" s="130" t="s">
        <v>113</v>
      </c>
      <c r="U8" s="131" t="s">
        <v>36</v>
      </c>
      <c r="AJ8" s="41"/>
      <c r="AK8" s="41"/>
    </row>
    <row r="9" spans="1:37" ht="20" x14ac:dyDescent="0.4">
      <c r="A9" s="41"/>
      <c r="B9" s="41"/>
      <c r="C9" s="41"/>
      <c r="D9" s="98"/>
      <c r="E9" s="98"/>
      <c r="F9" s="98"/>
      <c r="G9" s="98"/>
      <c r="H9" s="41"/>
      <c r="I9" s="41"/>
      <c r="J9" s="41"/>
      <c r="K9" s="41"/>
      <c r="N9" s="23" t="s">
        <v>9</v>
      </c>
      <c r="O9" s="24"/>
      <c r="P9" s="48" t="s">
        <v>9</v>
      </c>
      <c r="Q9" s="49">
        <f>IF(OR(C26=0,C26="%"),0,C26)</f>
        <v>0.46</v>
      </c>
      <c r="R9" s="84">
        <f>IF(OR(D26=0,D26="%"),0,D26*0.437)</f>
        <v>0</v>
      </c>
      <c r="S9" s="85">
        <f>IF(OR(E26=0,E26="%"),0,E26*0.83)</f>
        <v>0</v>
      </c>
      <c r="T9" s="132">
        <f>IF(OR(F26=0,F26="%"),0,F26)</f>
        <v>0</v>
      </c>
      <c r="U9" s="133">
        <f>IF(G26&lt;=0,0,(G26/50))</f>
        <v>1100</v>
      </c>
      <c r="AJ9" s="41"/>
      <c r="AK9" s="41"/>
    </row>
    <row r="10" spans="1:37" ht="18" x14ac:dyDescent="0.4">
      <c r="A10" s="41"/>
      <c r="B10" s="50" t="s">
        <v>76</v>
      </c>
      <c r="C10" s="210" t="s">
        <v>85</v>
      </c>
      <c r="D10" s="210"/>
      <c r="E10" s="11"/>
      <c r="F10" s="11"/>
      <c r="G10" s="41"/>
      <c r="H10" s="41"/>
      <c r="I10" s="41"/>
      <c r="J10" s="41"/>
      <c r="K10" s="41"/>
      <c r="N10" s="1" t="s">
        <v>15</v>
      </c>
      <c r="O10" s="2"/>
      <c r="P10" s="51" t="s">
        <v>12</v>
      </c>
      <c r="Q10" s="52">
        <f t="shared" ref="Q10:Q13" si="0">IF(OR(C27=0,C27="%"),0,C27)</f>
        <v>0</v>
      </c>
      <c r="R10" s="86">
        <f>IF(OR(D27=0,D27="%"),0,D27*0.437)</f>
        <v>0.20102</v>
      </c>
      <c r="S10" s="87">
        <f>IF(OR(E27=0,E27="%"),0,E27*0.83)</f>
        <v>0</v>
      </c>
      <c r="T10" s="132">
        <f t="shared" ref="T10:T13" si="1">IF(OR(F27=0,F27="%"),0,F27)</f>
        <v>0</v>
      </c>
      <c r="U10" s="133">
        <f>IF(G27&lt;=0,0,(G27/50))</f>
        <v>1300</v>
      </c>
      <c r="AJ10" s="41"/>
      <c r="AK10" s="41"/>
    </row>
    <row r="11" spans="1:37" ht="18" x14ac:dyDescent="0.4">
      <c r="A11" s="41"/>
      <c r="B11" s="50" t="s">
        <v>77</v>
      </c>
      <c r="C11" s="210" t="s">
        <v>85</v>
      </c>
      <c r="D11" s="210"/>
      <c r="E11" s="16"/>
      <c r="F11" s="16"/>
      <c r="G11" s="41"/>
      <c r="H11" s="41"/>
      <c r="I11" s="41"/>
      <c r="J11" s="41"/>
      <c r="K11" s="41"/>
      <c r="N11" s="1" t="s">
        <v>16</v>
      </c>
      <c r="O11" s="2"/>
      <c r="P11" s="51" t="s">
        <v>13</v>
      </c>
      <c r="Q11" s="95">
        <f>IF(OR(C28=0,C28="%"),0,C28)</f>
        <v>0.18</v>
      </c>
      <c r="R11" s="86">
        <f>IF(OR(D28=0,D28="%"),0,D28*0.437)</f>
        <v>0.20102</v>
      </c>
      <c r="S11" s="87">
        <f>IF(OR(E28=0,E28="%"),0,E28*0.83)</f>
        <v>0</v>
      </c>
      <c r="T11" s="132">
        <f t="shared" si="1"/>
        <v>0</v>
      </c>
      <c r="U11" s="133">
        <f>IF(G28&lt;=0,0,(G28/50))</f>
        <v>1500</v>
      </c>
      <c r="AJ11" s="41"/>
      <c r="AK11" s="41"/>
    </row>
    <row r="12" spans="1:37" ht="18" x14ac:dyDescent="0.4">
      <c r="A12" s="41"/>
      <c r="B12" s="50" t="s">
        <v>78</v>
      </c>
      <c r="C12" s="211">
        <f ca="1">TODAY()</f>
        <v>46028</v>
      </c>
      <c r="D12" s="211"/>
      <c r="E12" s="17"/>
      <c r="F12" s="17"/>
      <c r="G12" s="41"/>
      <c r="H12" s="41"/>
      <c r="I12" s="41"/>
      <c r="J12" s="41"/>
      <c r="K12" s="41"/>
      <c r="N12" s="22" t="s">
        <v>17</v>
      </c>
      <c r="O12" s="25"/>
      <c r="P12" s="54" t="s">
        <v>22</v>
      </c>
      <c r="Q12" s="52">
        <f t="shared" si="0"/>
        <v>0</v>
      </c>
      <c r="R12" s="86">
        <f>IF(OR(D29=0,D29="%"),0,D29*0.437)</f>
        <v>0</v>
      </c>
      <c r="S12" s="87">
        <f>IF(OR(E29=0,E29="%"),0,E29*0.83)</f>
        <v>0.49799999999999994</v>
      </c>
      <c r="T12" s="132">
        <f t="shared" si="1"/>
        <v>0</v>
      </c>
      <c r="U12" s="133">
        <f>IF(G29&lt;=0,0,(G29/50))</f>
        <v>1200</v>
      </c>
      <c r="AJ12" s="41"/>
      <c r="AK12" s="41"/>
    </row>
    <row r="13" spans="1:37" x14ac:dyDescent="0.3">
      <c r="A13" s="41"/>
      <c r="B13" s="41"/>
      <c r="C13" s="41"/>
      <c r="D13" s="41"/>
      <c r="E13" s="17"/>
      <c r="F13" s="17"/>
      <c r="G13" s="41"/>
      <c r="H13" s="41"/>
      <c r="I13" s="41"/>
      <c r="J13" s="41"/>
      <c r="K13" s="41"/>
      <c r="N13" s="134" t="s">
        <v>85</v>
      </c>
      <c r="O13" s="135"/>
      <c r="P13" s="136" t="str">
        <f>LEFT(N13,4)</f>
        <v>xxx</v>
      </c>
      <c r="Q13" s="137">
        <f t="shared" si="0"/>
        <v>0</v>
      </c>
      <c r="R13" s="138">
        <f>IF(OR(D30=0,D30="%"),0,D30*0.437)</f>
        <v>0</v>
      </c>
      <c r="S13" s="139">
        <f>IF(OR(E30=0,E30="%"),0,E30*0.83)</f>
        <v>0</v>
      </c>
      <c r="T13" s="132">
        <f t="shared" si="1"/>
        <v>0</v>
      </c>
      <c r="U13" s="133">
        <f>IF(G30&lt;=0,0,(G30/50))</f>
        <v>0</v>
      </c>
      <c r="AJ13" s="41"/>
      <c r="AK13" s="41"/>
    </row>
    <row r="14" spans="1:37" ht="18" x14ac:dyDescent="0.4">
      <c r="A14" s="41"/>
      <c r="B14" s="216" t="s">
        <v>5</v>
      </c>
      <c r="C14" s="217"/>
      <c r="D14" s="218"/>
      <c r="E14" s="17"/>
      <c r="F14" s="17"/>
      <c r="G14" s="41"/>
      <c r="H14" s="41"/>
      <c r="I14" s="41"/>
      <c r="J14" s="41"/>
      <c r="K14" s="41"/>
      <c r="P14" s="57"/>
      <c r="Q14" s="53"/>
      <c r="R14" s="53"/>
      <c r="S14" s="53"/>
      <c r="T14" s="58"/>
      <c r="AJ14" s="41"/>
      <c r="AK14" s="41"/>
    </row>
    <row r="15" spans="1:37" ht="54" x14ac:dyDescent="0.3">
      <c r="A15" s="41"/>
      <c r="B15" s="38" t="s">
        <v>6</v>
      </c>
      <c r="C15" s="3" t="s">
        <v>129</v>
      </c>
      <c r="D15" s="4" t="s">
        <v>95</v>
      </c>
      <c r="E15" s="17"/>
      <c r="F15" s="17"/>
      <c r="G15" s="41"/>
      <c r="H15" s="41"/>
      <c r="I15" s="41"/>
      <c r="J15" s="41"/>
      <c r="K15" s="41"/>
      <c r="AJ15" s="41"/>
      <c r="AK15" s="41"/>
    </row>
    <row r="16" spans="1:37" ht="17.5" x14ac:dyDescent="0.35">
      <c r="A16" s="41"/>
      <c r="B16" s="127" t="s">
        <v>107</v>
      </c>
      <c r="C16" s="83">
        <v>1</v>
      </c>
      <c r="D16" s="83">
        <v>1000</v>
      </c>
      <c r="E16" s="17"/>
      <c r="F16" s="17"/>
      <c r="G16" s="41"/>
      <c r="H16" s="41"/>
      <c r="I16" s="41"/>
      <c r="J16" s="41"/>
      <c r="K16" s="41"/>
      <c r="N16" s="197" t="s">
        <v>32</v>
      </c>
      <c r="O16" s="198"/>
      <c r="P16" s="198"/>
      <c r="Q16" s="198"/>
      <c r="R16" s="198"/>
      <c r="S16" s="198"/>
      <c r="T16" s="198"/>
      <c r="U16" s="198"/>
      <c r="V16" s="198"/>
      <c r="W16" s="198"/>
      <c r="X16" s="199"/>
      <c r="Y16" s="197" t="s">
        <v>106</v>
      </c>
      <c r="Z16" s="198"/>
      <c r="AA16" s="198"/>
      <c r="AB16" s="199"/>
      <c r="AJ16" s="41"/>
      <c r="AK16" s="41"/>
    </row>
    <row r="17" spans="1:37" ht="17.5" x14ac:dyDescent="0.35">
      <c r="A17" s="41"/>
      <c r="B17" s="5" t="s">
        <v>111</v>
      </c>
      <c r="C17" s="83">
        <v>1</v>
      </c>
      <c r="D17" s="83">
        <v>660</v>
      </c>
      <c r="E17" s="17"/>
      <c r="F17" s="17"/>
      <c r="G17" s="41"/>
      <c r="H17" s="41"/>
      <c r="I17" s="41"/>
      <c r="J17" s="41"/>
      <c r="K17" s="41"/>
      <c r="N17" s="55" t="s">
        <v>6</v>
      </c>
      <c r="O17" s="51" t="s">
        <v>24</v>
      </c>
      <c r="P17" s="57" t="s">
        <v>25</v>
      </c>
      <c r="Q17" s="57" t="s">
        <v>26</v>
      </c>
      <c r="R17" s="57" t="s">
        <v>27</v>
      </c>
      <c r="S17" s="141" t="str">
        <f>P13&amp;" Min"</f>
        <v>xxx Min</v>
      </c>
      <c r="T17" s="48" t="s">
        <v>28</v>
      </c>
      <c r="U17" s="46" t="s">
        <v>29</v>
      </c>
      <c r="V17" s="46" t="s">
        <v>30</v>
      </c>
      <c r="W17" s="46" t="s">
        <v>31</v>
      </c>
      <c r="X17" s="144" t="s">
        <v>114</v>
      </c>
      <c r="Y17" s="145" t="s">
        <v>61</v>
      </c>
      <c r="Z17" s="130" t="s">
        <v>62</v>
      </c>
      <c r="AA17" s="130" t="s">
        <v>64</v>
      </c>
      <c r="AB17" s="140" t="s">
        <v>115</v>
      </c>
      <c r="AJ17" s="41"/>
      <c r="AK17" s="41"/>
    </row>
    <row r="18" spans="1:37" ht="17.5" x14ac:dyDescent="0.35">
      <c r="A18" s="41"/>
      <c r="B18" s="97" t="s">
        <v>0</v>
      </c>
      <c r="C18" s="83">
        <v>1</v>
      </c>
      <c r="D18" s="83">
        <v>650</v>
      </c>
      <c r="E18" s="41"/>
      <c r="F18" s="41"/>
      <c r="G18" s="41"/>
      <c r="H18" s="41"/>
      <c r="I18" s="41"/>
      <c r="J18" s="41"/>
      <c r="K18" s="41"/>
      <c r="N18" s="128" t="str">
        <f>B16</f>
        <v>Rice, lowland Paddy</v>
      </c>
      <c r="O18" s="59">
        <v>0</v>
      </c>
      <c r="P18" s="60">
        <v>0</v>
      </c>
      <c r="Q18" s="60">
        <v>0</v>
      </c>
      <c r="R18" s="60">
        <v>0</v>
      </c>
      <c r="S18" s="142">
        <v>0</v>
      </c>
      <c r="T18" s="184">
        <f>IF($G$26&lt;=0,0,326)</f>
        <v>326</v>
      </c>
      <c r="U18" s="185">
        <f>IF($G$27&lt;=0,0,150)</f>
        <v>150</v>
      </c>
      <c r="V18" s="185">
        <f t="shared" ref="V18:V21" si="2">IF($G$28&lt;=0,0,150)</f>
        <v>150</v>
      </c>
      <c r="W18" s="185">
        <f t="shared" ref="W18:W23" si="3">IF($G$29&lt;=0,0,100)</f>
        <v>100</v>
      </c>
      <c r="X18" s="186">
        <v>20</v>
      </c>
      <c r="Y18" s="175">
        <v>150</v>
      </c>
      <c r="Z18" s="176">
        <v>50</v>
      </c>
      <c r="AA18" s="176">
        <v>50</v>
      </c>
      <c r="AB18" s="177">
        <v>5</v>
      </c>
      <c r="AJ18" s="41"/>
      <c r="AK18" s="41"/>
    </row>
    <row r="19" spans="1:37" ht="17.5" x14ac:dyDescent="0.35">
      <c r="A19" s="41"/>
      <c r="B19" s="97" t="s">
        <v>112</v>
      </c>
      <c r="C19" s="83">
        <v>1</v>
      </c>
      <c r="D19" s="83">
        <v>500</v>
      </c>
      <c r="E19" s="17"/>
      <c r="F19" s="17"/>
      <c r="G19" s="41"/>
      <c r="H19" s="41"/>
      <c r="I19" s="41"/>
      <c r="J19" s="41"/>
      <c r="K19" s="41"/>
      <c r="N19" s="128" t="str">
        <f t="shared" ref="N19:N24" si="4">B17</f>
        <v xml:space="preserve">Maize </v>
      </c>
      <c r="O19" s="61">
        <v>0</v>
      </c>
      <c r="P19" s="62">
        <v>0</v>
      </c>
      <c r="Q19" s="62">
        <v>0</v>
      </c>
      <c r="R19" s="62">
        <v>0</v>
      </c>
      <c r="S19" s="143">
        <v>0</v>
      </c>
      <c r="T19" s="187">
        <f>IF($G$26&lt;=0,0,326)</f>
        <v>326</v>
      </c>
      <c r="U19" s="188">
        <f t="shared" ref="U19" si="5">IF($G$27&lt;=0,0,150)</f>
        <v>150</v>
      </c>
      <c r="V19" s="188">
        <f t="shared" si="2"/>
        <v>150</v>
      </c>
      <c r="W19" s="188">
        <f t="shared" si="3"/>
        <v>100</v>
      </c>
      <c r="X19" s="189">
        <v>20</v>
      </c>
      <c r="Y19" s="178">
        <v>150</v>
      </c>
      <c r="Z19" s="176">
        <v>50</v>
      </c>
      <c r="AA19" s="176">
        <v>50</v>
      </c>
      <c r="AB19" s="177">
        <v>5</v>
      </c>
      <c r="AJ19" s="41"/>
      <c r="AK19" s="41"/>
    </row>
    <row r="20" spans="1:37" ht="17.5" x14ac:dyDescent="0.35">
      <c r="A20" s="41"/>
      <c r="B20" s="127" t="s">
        <v>125</v>
      </c>
      <c r="C20" s="83">
        <v>1</v>
      </c>
      <c r="D20" s="83">
        <v>1000</v>
      </c>
      <c r="E20" s="17"/>
      <c r="F20" s="17"/>
      <c r="G20" s="41"/>
      <c r="H20" s="41"/>
      <c r="I20" s="41"/>
      <c r="J20" s="41"/>
      <c r="K20" s="41"/>
      <c r="N20" s="128" t="str">
        <f t="shared" si="4"/>
        <v>Sorghum</v>
      </c>
      <c r="O20" s="61">
        <v>0</v>
      </c>
      <c r="P20" s="62">
        <v>0</v>
      </c>
      <c r="Q20" s="62">
        <v>0</v>
      </c>
      <c r="R20" s="62">
        <v>0</v>
      </c>
      <c r="S20" s="143">
        <v>0</v>
      </c>
      <c r="T20" s="187">
        <f t="shared" ref="T20:T21" si="6">IF($G$26&lt;=0,0,260)</f>
        <v>260</v>
      </c>
      <c r="U20" s="188">
        <f>IF($G$27&lt;=0,0,150)</f>
        <v>150</v>
      </c>
      <c r="V20" s="188">
        <f t="shared" si="2"/>
        <v>150</v>
      </c>
      <c r="W20" s="188">
        <f t="shared" si="3"/>
        <v>100</v>
      </c>
      <c r="X20" s="189">
        <v>20</v>
      </c>
      <c r="Y20" s="178">
        <v>120</v>
      </c>
      <c r="Z20" s="176">
        <v>50</v>
      </c>
      <c r="AA20" s="176">
        <v>50</v>
      </c>
      <c r="AB20" s="177">
        <v>5</v>
      </c>
      <c r="AJ20" s="41"/>
      <c r="AK20" s="41"/>
    </row>
    <row r="21" spans="1:37" ht="17.5" x14ac:dyDescent="0.35">
      <c r="A21" s="41"/>
      <c r="B21" s="6"/>
      <c r="C21" s="83" t="s">
        <v>87</v>
      </c>
      <c r="D21" s="83" t="s">
        <v>87</v>
      </c>
      <c r="E21" s="17"/>
      <c r="F21" s="17"/>
      <c r="G21" s="41"/>
      <c r="H21" s="41"/>
      <c r="I21" s="41"/>
      <c r="J21" s="41"/>
      <c r="K21" s="41"/>
      <c r="N21" s="128" t="str">
        <f t="shared" si="4"/>
        <v>Sweet Potato</v>
      </c>
      <c r="O21" s="61">
        <v>0</v>
      </c>
      <c r="P21" s="62">
        <v>0</v>
      </c>
      <c r="Q21" s="62">
        <v>0</v>
      </c>
      <c r="R21" s="62">
        <v>0</v>
      </c>
      <c r="S21" s="143">
        <v>0</v>
      </c>
      <c r="T21" s="187">
        <f t="shared" si="6"/>
        <v>260</v>
      </c>
      <c r="U21" s="188">
        <f>IF($G$27&lt;=0,0,120)</f>
        <v>120</v>
      </c>
      <c r="V21" s="188">
        <f t="shared" si="2"/>
        <v>150</v>
      </c>
      <c r="W21" s="188">
        <f t="shared" si="3"/>
        <v>100</v>
      </c>
      <c r="X21" s="189">
        <v>20</v>
      </c>
      <c r="Y21" s="178">
        <v>120</v>
      </c>
      <c r="Z21" s="176">
        <v>50</v>
      </c>
      <c r="AA21" s="176">
        <v>50</v>
      </c>
      <c r="AB21" s="177">
        <v>5</v>
      </c>
      <c r="AJ21" s="41"/>
      <c r="AK21" s="41"/>
    </row>
    <row r="22" spans="1:37" ht="17.5" x14ac:dyDescent="0.35">
      <c r="A22" s="41"/>
      <c r="B22" s="183"/>
      <c r="C22" s="196" t="s">
        <v>87</v>
      </c>
      <c r="D22" s="196" t="s">
        <v>87</v>
      </c>
      <c r="E22" s="41"/>
      <c r="F22" s="41"/>
      <c r="G22" s="41"/>
      <c r="H22" s="41"/>
      <c r="I22" s="41"/>
      <c r="J22" s="41"/>
      <c r="K22" s="41"/>
      <c r="N22" s="128" t="str">
        <f t="shared" si="4"/>
        <v>Cowpea</v>
      </c>
      <c r="O22" s="61">
        <v>0</v>
      </c>
      <c r="P22" s="62">
        <v>0</v>
      </c>
      <c r="Q22" s="62">
        <v>0</v>
      </c>
      <c r="R22" s="62">
        <v>0</v>
      </c>
      <c r="S22" s="143">
        <v>0</v>
      </c>
      <c r="T22" s="187">
        <f>IF($G$26&lt;=0,0,260)</f>
        <v>260</v>
      </c>
      <c r="U22" s="188">
        <f>IF($G$27&lt;=0,0,200)</f>
        <v>200</v>
      </c>
      <c r="V22" s="188">
        <f>IF($G$28&lt;=0,0,150)</f>
        <v>150</v>
      </c>
      <c r="W22" s="188">
        <f t="shared" si="3"/>
        <v>100</v>
      </c>
      <c r="X22" s="189">
        <v>20</v>
      </c>
      <c r="Y22" s="178">
        <v>120</v>
      </c>
      <c r="Z22" s="176">
        <v>50</v>
      </c>
      <c r="AA22" s="176">
        <v>50</v>
      </c>
      <c r="AB22" s="177">
        <v>5</v>
      </c>
      <c r="AJ22" s="41"/>
      <c r="AK22" s="41"/>
    </row>
    <row r="23" spans="1:37" ht="18" x14ac:dyDescent="0.4">
      <c r="A23" s="41"/>
      <c r="B23" s="100" t="s">
        <v>102</v>
      </c>
      <c r="C23" s="195">
        <f>SUM(C16:C22)</f>
        <v>5</v>
      </c>
      <c r="D23" s="99"/>
      <c r="E23" s="17"/>
      <c r="F23" s="17"/>
      <c r="G23" s="41"/>
      <c r="H23" s="41"/>
      <c r="I23" s="41"/>
      <c r="J23" s="41"/>
      <c r="K23" s="41"/>
      <c r="N23" s="128">
        <f t="shared" si="4"/>
        <v>0</v>
      </c>
      <c r="O23" s="61">
        <v>0</v>
      </c>
      <c r="P23" s="62">
        <v>0</v>
      </c>
      <c r="Q23" s="62">
        <v>0</v>
      </c>
      <c r="R23" s="62">
        <v>0</v>
      </c>
      <c r="S23" s="149">
        <v>0</v>
      </c>
      <c r="T23" s="188">
        <f t="shared" ref="T23" si="7">IF($G$26&lt;=0,0,100)</f>
        <v>100</v>
      </c>
      <c r="U23" s="188">
        <f>IF($G$27&lt;=0,0,200)</f>
        <v>200</v>
      </c>
      <c r="V23" s="188">
        <f>IF($G$28&lt;=0,0,150)</f>
        <v>150</v>
      </c>
      <c r="W23" s="188">
        <f t="shared" si="3"/>
        <v>100</v>
      </c>
      <c r="X23" s="189">
        <v>20</v>
      </c>
      <c r="Y23" s="179">
        <v>50</v>
      </c>
      <c r="Z23" s="180">
        <v>50</v>
      </c>
      <c r="AA23" s="176">
        <v>50</v>
      </c>
      <c r="AB23" s="177">
        <v>5</v>
      </c>
      <c r="AJ23" s="41"/>
      <c r="AK23" s="41"/>
    </row>
    <row r="24" spans="1:37" ht="18" x14ac:dyDescent="0.4">
      <c r="A24" s="41"/>
      <c r="B24" s="212" t="s">
        <v>7</v>
      </c>
      <c r="C24" s="213"/>
      <c r="D24" s="213"/>
      <c r="E24" s="213"/>
      <c r="F24" s="213"/>
      <c r="G24" s="214"/>
      <c r="H24" s="41"/>
      <c r="I24" s="41"/>
      <c r="J24" s="41"/>
      <c r="K24" s="41"/>
      <c r="N24" s="128">
        <f t="shared" si="4"/>
        <v>0</v>
      </c>
      <c r="O24" s="146">
        <v>0</v>
      </c>
      <c r="P24" s="148">
        <v>0</v>
      </c>
      <c r="Q24" s="148">
        <v>0</v>
      </c>
      <c r="R24" s="148">
        <v>0</v>
      </c>
      <c r="S24" s="147">
        <v>0</v>
      </c>
      <c r="T24" s="190">
        <f>IF($G$26&lt;=0,0,326)</f>
        <v>326</v>
      </c>
      <c r="U24" s="190">
        <f>IF($G$27&lt;=0,0,150)</f>
        <v>150</v>
      </c>
      <c r="V24" s="190">
        <f>IF($G$28&lt;=0,0,150)</f>
        <v>150</v>
      </c>
      <c r="W24" s="190">
        <f>IF($G$29&lt;=0,0,100)</f>
        <v>100</v>
      </c>
      <c r="X24" s="191">
        <v>20</v>
      </c>
      <c r="Y24" s="181">
        <v>150</v>
      </c>
      <c r="Z24" s="182">
        <v>50</v>
      </c>
      <c r="AA24" s="182">
        <v>50</v>
      </c>
      <c r="AB24" s="177">
        <v>5</v>
      </c>
      <c r="AJ24" s="41"/>
      <c r="AK24" s="41"/>
    </row>
    <row r="25" spans="1:37" ht="41.25" customHeight="1" x14ac:dyDescent="0.3">
      <c r="A25" s="41"/>
      <c r="B25" s="37" t="s">
        <v>8</v>
      </c>
      <c r="C25" s="19" t="s">
        <v>70</v>
      </c>
      <c r="D25" s="20" t="s">
        <v>74</v>
      </c>
      <c r="E25" s="19" t="s">
        <v>75</v>
      </c>
      <c r="F25" s="122" t="s">
        <v>132</v>
      </c>
      <c r="G25" s="21" t="s">
        <v>104</v>
      </c>
      <c r="H25" s="41"/>
      <c r="I25" s="41"/>
      <c r="J25" s="41"/>
      <c r="K25" s="41"/>
      <c r="AJ25" s="41"/>
      <c r="AK25" s="41"/>
    </row>
    <row r="26" spans="1:37" ht="17.5" x14ac:dyDescent="0.35">
      <c r="A26" s="41"/>
      <c r="B26" s="18" t="s">
        <v>9</v>
      </c>
      <c r="C26" s="29">
        <v>0.46</v>
      </c>
      <c r="D26" s="29">
        <v>0</v>
      </c>
      <c r="E26" s="30">
        <v>0</v>
      </c>
      <c r="F26" s="123">
        <v>0</v>
      </c>
      <c r="G26" s="192">
        <v>55000</v>
      </c>
      <c r="H26" s="41"/>
      <c r="I26" s="41"/>
      <c r="J26" s="41"/>
      <c r="K26" s="41"/>
      <c r="AJ26" s="41"/>
      <c r="AK26" s="41"/>
    </row>
    <row r="27" spans="1:37" ht="15" customHeight="1" x14ac:dyDescent="0.35">
      <c r="A27" s="41"/>
      <c r="B27" s="5" t="s">
        <v>73</v>
      </c>
      <c r="C27" s="31">
        <v>0</v>
      </c>
      <c r="D27" s="31">
        <v>0.46</v>
      </c>
      <c r="E27" s="32">
        <v>0</v>
      </c>
      <c r="F27" s="124">
        <v>0</v>
      </c>
      <c r="G27" s="192">
        <v>65000</v>
      </c>
      <c r="H27" s="41"/>
      <c r="I27" s="41"/>
      <c r="J27" s="41"/>
      <c r="K27" s="41"/>
      <c r="AJ27" s="41"/>
      <c r="AK27" s="41"/>
    </row>
    <row r="28" spans="1:37" ht="15" customHeight="1" x14ac:dyDescent="0.35">
      <c r="A28" s="41"/>
      <c r="B28" s="5" t="s">
        <v>72</v>
      </c>
      <c r="C28" s="31">
        <v>0.18</v>
      </c>
      <c r="D28" s="31">
        <v>0.46</v>
      </c>
      <c r="E28" s="32">
        <v>0</v>
      </c>
      <c r="F28" s="124">
        <v>0</v>
      </c>
      <c r="G28" s="192">
        <v>75000</v>
      </c>
      <c r="H28" s="41"/>
      <c r="I28" s="41"/>
      <c r="J28" s="41"/>
      <c r="K28" s="41"/>
      <c r="AJ28" s="41"/>
      <c r="AK28" s="41"/>
    </row>
    <row r="29" spans="1:37" ht="15" customHeight="1" x14ac:dyDescent="0.35">
      <c r="A29" s="41"/>
      <c r="B29" s="5" t="s">
        <v>71</v>
      </c>
      <c r="C29" s="31">
        <v>0</v>
      </c>
      <c r="D29" s="31">
        <v>0</v>
      </c>
      <c r="E29" s="32">
        <v>0.6</v>
      </c>
      <c r="F29" s="124">
        <v>0</v>
      </c>
      <c r="G29" s="192">
        <v>60000</v>
      </c>
      <c r="H29" s="41"/>
      <c r="I29" s="41"/>
      <c r="J29" s="41"/>
      <c r="K29" s="41"/>
      <c r="AJ29" s="41"/>
      <c r="AK29" s="41"/>
    </row>
    <row r="30" spans="1:37" ht="17.5" x14ac:dyDescent="0.35">
      <c r="A30" s="41"/>
      <c r="B30" s="125" t="s">
        <v>85</v>
      </c>
      <c r="C30" s="126">
        <v>0</v>
      </c>
      <c r="D30" s="126" t="s">
        <v>92</v>
      </c>
      <c r="E30" s="126" t="s">
        <v>92</v>
      </c>
      <c r="F30" s="126">
        <v>0</v>
      </c>
      <c r="G30" s="193">
        <v>0</v>
      </c>
      <c r="H30" s="41"/>
      <c r="I30" s="41"/>
      <c r="J30" s="41"/>
      <c r="K30" s="41"/>
      <c r="L30" s="197" t="s">
        <v>34</v>
      </c>
      <c r="M30" s="198"/>
      <c r="N30" s="199"/>
      <c r="O30" s="207" t="s">
        <v>81</v>
      </c>
      <c r="P30" s="208"/>
      <c r="Q30" s="208"/>
      <c r="R30" s="208"/>
      <c r="S30" s="209"/>
      <c r="T30" s="200" t="s">
        <v>33</v>
      </c>
      <c r="U30" s="200"/>
      <c r="V30" s="200"/>
      <c r="W30" s="200"/>
      <c r="X30" s="200"/>
      <c r="Y30" s="200"/>
      <c r="Z30" s="200"/>
      <c r="AA30" s="200"/>
      <c r="AB30" s="200"/>
      <c r="AC30" s="200" t="s">
        <v>63</v>
      </c>
      <c r="AD30" s="200"/>
      <c r="AE30" s="200"/>
      <c r="AF30" s="200"/>
      <c r="AJ30" s="41"/>
      <c r="AK30" s="41"/>
    </row>
    <row r="31" spans="1:37" ht="16.5" customHeight="1" x14ac:dyDescent="0.3">
      <c r="A31" s="41"/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63" t="s">
        <v>6</v>
      </c>
      <c r="M31" s="64" t="s">
        <v>23</v>
      </c>
      <c r="N31" s="48" t="s">
        <v>4</v>
      </c>
      <c r="O31" s="65" t="s">
        <v>58</v>
      </c>
      <c r="P31" s="66" t="s">
        <v>82</v>
      </c>
      <c r="Q31" s="66" t="s">
        <v>83</v>
      </c>
      <c r="R31" s="66" t="s">
        <v>84</v>
      </c>
      <c r="S31" s="66" t="str">
        <f>P13&amp;" kg"</f>
        <v>xxx kg</v>
      </c>
      <c r="T31" s="64" t="s">
        <v>37</v>
      </c>
      <c r="U31" s="64" t="s">
        <v>38</v>
      </c>
      <c r="V31" s="64" t="s">
        <v>39</v>
      </c>
      <c r="W31" s="64" t="s">
        <v>40</v>
      </c>
      <c r="X31" s="64" t="s">
        <v>41</v>
      </c>
      <c r="Y31" s="64" t="str">
        <f>P13&amp; " kg (N)"</f>
        <v>xxx kg (N)</v>
      </c>
      <c r="Z31" s="64" t="str">
        <f>P13&amp;" kg (P)"</f>
        <v>xxx kg (P)</v>
      </c>
      <c r="AA31" s="64" t="str">
        <f>P13&amp;" kg (K)"</f>
        <v>xxx kg (K)</v>
      </c>
      <c r="AB31" s="111" t="s">
        <v>116</v>
      </c>
      <c r="AC31" s="64" t="s">
        <v>61</v>
      </c>
      <c r="AD31" s="64" t="s">
        <v>62</v>
      </c>
      <c r="AE31" s="109" t="s">
        <v>64</v>
      </c>
      <c r="AF31" s="111" t="s">
        <v>117</v>
      </c>
      <c r="AG31" s="57"/>
      <c r="AH31" s="57"/>
      <c r="AI31" s="57"/>
      <c r="AJ31" s="41"/>
      <c r="AK31" s="41"/>
    </row>
    <row r="32" spans="1:37" ht="19.5" customHeight="1" x14ac:dyDescent="0.35">
      <c r="A32" s="41"/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128" t="str">
        <f>B16</f>
        <v>Rice, lowland Paddy</v>
      </c>
      <c r="M32" s="48">
        <f>C16*0.404</f>
        <v>0.40400000000000003</v>
      </c>
      <c r="N32" s="45">
        <f t="shared" ref="N32:N36" si="8">IF(D16&lt;=0,0,D16)</f>
        <v>1000</v>
      </c>
      <c r="O32" s="67">
        <v>241.21436561130835</v>
      </c>
      <c r="P32" s="68">
        <v>0</v>
      </c>
      <c r="Q32" s="68">
        <v>120.36381020986079</v>
      </c>
      <c r="R32" s="68">
        <v>0</v>
      </c>
      <c r="S32" s="68">
        <v>0</v>
      </c>
      <c r="T32" s="69">
        <f t="shared" ref="T32:T38" si="9">IF(M32&lt;=0,0,O32*$Q$9)</f>
        <v>110.95860818120185</v>
      </c>
      <c r="U32" s="70">
        <f>IF(M32&lt;=0,0,P32*$R$10)</f>
        <v>0</v>
      </c>
      <c r="V32" s="70">
        <f>IF(M32&lt;=0,0,Q32*$Q$11)</f>
        <v>21.665485837774941</v>
      </c>
      <c r="W32" s="70">
        <f>IF(M32&lt;=0,0,Q32*$R$11)</f>
        <v>24.195533128386217</v>
      </c>
      <c r="X32" s="70">
        <f>IF(M32&lt;=0,0,R32*$S$12)</f>
        <v>0</v>
      </c>
      <c r="Y32" s="70">
        <f t="shared" ref="Y32:Y38" si="10">IF(OR(M32&lt;=0,$C$30=0,$C$30="%"),0,S32*$Q$13)</f>
        <v>0</v>
      </c>
      <c r="Z32" s="70">
        <f t="shared" ref="Z32:Z38" si="11">IF(OR(M32&lt;=0,$D$30=0,$D$30="%"),0,S32*$R$13)</f>
        <v>0</v>
      </c>
      <c r="AA32" s="70">
        <f t="shared" ref="AA32:AA38" si="12">IF(OR(M32&lt;=0,$E$30=0,$E$30="%"),0,S32*$S$13)</f>
        <v>0</v>
      </c>
      <c r="AB32" s="112">
        <f>IF(M32&lt;=0,0,S32*$T$13)</f>
        <v>0</v>
      </c>
      <c r="AC32" s="102">
        <f>T32+V32+Y32</f>
        <v>132.62409401897679</v>
      </c>
      <c r="AD32" s="102">
        <f>U32+W32+Z32</f>
        <v>24.195533128386217</v>
      </c>
      <c r="AE32" s="110">
        <f>X32+AA32</f>
        <v>0</v>
      </c>
      <c r="AF32" s="116">
        <f>AB32</f>
        <v>0</v>
      </c>
      <c r="AG32" s="71"/>
      <c r="AH32" s="71"/>
      <c r="AI32" s="71"/>
      <c r="AJ32" s="41"/>
      <c r="AK32" s="41"/>
    </row>
    <row r="33" spans="1:37" ht="19.5" customHeight="1" x14ac:dyDescent="0.4">
      <c r="A33" s="41"/>
      <c r="B33" s="212" t="s">
        <v>10</v>
      </c>
      <c r="C33" s="214"/>
      <c r="D33" s="41"/>
      <c r="E33" s="41"/>
      <c r="F33" s="41"/>
      <c r="G33" s="41"/>
      <c r="H33" s="41"/>
      <c r="I33" s="41"/>
      <c r="J33" s="41"/>
      <c r="K33" s="41"/>
      <c r="L33" s="128" t="str">
        <f t="shared" ref="L33:L38" si="13">B17</f>
        <v xml:space="preserve">Maize </v>
      </c>
      <c r="M33" s="48">
        <f t="shared" ref="M33:M36" si="14">C17*0.404</f>
        <v>0.40400000000000003</v>
      </c>
      <c r="N33" s="72">
        <f t="shared" si="8"/>
        <v>660</v>
      </c>
      <c r="O33" s="67">
        <v>56.404789661029653</v>
      </c>
      <c r="P33" s="68">
        <v>0</v>
      </c>
      <c r="Q33" s="68">
        <v>5.5362938593466557</v>
      </c>
      <c r="R33" s="68">
        <v>0</v>
      </c>
      <c r="S33" s="68">
        <v>0</v>
      </c>
      <c r="T33" s="69">
        <f t="shared" si="9"/>
        <v>25.94620324407364</v>
      </c>
      <c r="U33" s="70">
        <f t="shared" ref="U33:U37" si="15">IF(M33&lt;=0,0,P33*$R$10)</f>
        <v>0</v>
      </c>
      <c r="V33" s="70">
        <f>IF(M33&lt;=0,0,Q33*$Q$11)</f>
        <v>0.99653289468239803</v>
      </c>
      <c r="W33" s="70">
        <f t="shared" ref="W33:W35" si="16">IF(M33&lt;=0,0,Q33*$R$11)</f>
        <v>1.1129057916058647</v>
      </c>
      <c r="X33" s="70">
        <f t="shared" ref="X33:X35" si="17">IF(M33&lt;=0,0,R33*$S$12)</f>
        <v>0</v>
      </c>
      <c r="Y33" s="70">
        <f t="shared" si="10"/>
        <v>0</v>
      </c>
      <c r="Z33" s="70">
        <f t="shared" si="11"/>
        <v>0</v>
      </c>
      <c r="AA33" s="70">
        <f t="shared" si="12"/>
        <v>0</v>
      </c>
      <c r="AB33" s="113">
        <f>IF(M33&lt;=0,0,S33*$T$13)</f>
        <v>0</v>
      </c>
      <c r="AC33" s="102">
        <f t="shared" ref="AC33:AC38" si="18">T33+V33+Y33</f>
        <v>26.94273613875604</v>
      </c>
      <c r="AD33" s="102">
        <f t="shared" ref="AD33:AD38" si="19">U33+W33+Z33</f>
        <v>1.1129057916058647</v>
      </c>
      <c r="AE33" s="110">
        <f t="shared" ref="AE33:AE38" si="20">X33+AA33</f>
        <v>0</v>
      </c>
      <c r="AF33" s="116">
        <f t="shared" ref="AF33:AF38" si="21">AB33</f>
        <v>0</v>
      </c>
      <c r="AG33" s="71"/>
      <c r="AH33" s="71"/>
      <c r="AI33" s="71"/>
      <c r="AJ33" s="41"/>
      <c r="AK33" s="41"/>
    </row>
    <row r="34" spans="1:37" ht="35" x14ac:dyDescent="0.35">
      <c r="A34" s="41"/>
      <c r="B34" s="9" t="s">
        <v>11</v>
      </c>
      <c r="C34" s="83">
        <v>500000</v>
      </c>
      <c r="D34" s="13"/>
      <c r="E34" s="17"/>
      <c r="F34" s="17"/>
      <c r="G34" s="41"/>
      <c r="H34" s="41"/>
      <c r="I34" s="41"/>
      <c r="J34" s="41"/>
      <c r="K34" s="41"/>
      <c r="L34" s="128" t="str">
        <f t="shared" si="13"/>
        <v>Sorghum</v>
      </c>
      <c r="M34" s="48">
        <f t="shared" si="14"/>
        <v>0.40400000000000003</v>
      </c>
      <c r="N34" s="93">
        <f t="shared" si="8"/>
        <v>650</v>
      </c>
      <c r="O34" s="73">
        <v>0</v>
      </c>
      <c r="P34" s="74">
        <v>27.894366707306155</v>
      </c>
      <c r="Q34" s="74">
        <v>94.831091619402628</v>
      </c>
      <c r="R34" s="74">
        <v>0</v>
      </c>
      <c r="S34" s="74">
        <v>0</v>
      </c>
      <c r="T34" s="88">
        <f t="shared" si="9"/>
        <v>0</v>
      </c>
      <c r="U34" s="89">
        <f t="shared" si="15"/>
        <v>5.6073255955026831</v>
      </c>
      <c r="V34" s="89">
        <f>IF(M34&lt;=0,0,Q34*$Q$11)</f>
        <v>17.069596491492472</v>
      </c>
      <c r="W34" s="89">
        <f t="shared" si="16"/>
        <v>19.062946037332317</v>
      </c>
      <c r="X34" s="89">
        <f t="shared" si="17"/>
        <v>0</v>
      </c>
      <c r="Y34" s="89">
        <f t="shared" si="10"/>
        <v>0</v>
      </c>
      <c r="Z34" s="89">
        <f t="shared" si="11"/>
        <v>0</v>
      </c>
      <c r="AA34" s="89">
        <f t="shared" si="12"/>
        <v>0</v>
      </c>
      <c r="AB34" s="113">
        <f>IF(M34&lt;=0,0,S34*$T$13)</f>
        <v>0</v>
      </c>
      <c r="AC34" s="102">
        <f t="shared" si="18"/>
        <v>17.069596491492472</v>
      </c>
      <c r="AD34" s="102">
        <f t="shared" si="19"/>
        <v>24.670271632835</v>
      </c>
      <c r="AE34" s="110">
        <f t="shared" si="20"/>
        <v>0</v>
      </c>
      <c r="AF34" s="116">
        <f t="shared" si="21"/>
        <v>0</v>
      </c>
      <c r="AG34" s="71"/>
      <c r="AH34" s="71"/>
      <c r="AI34" s="71"/>
      <c r="AJ34" s="41"/>
      <c r="AK34" s="41"/>
    </row>
    <row r="35" spans="1:37" ht="17.5" x14ac:dyDescent="0.35">
      <c r="A35" s="41"/>
      <c r="B35" s="219"/>
      <c r="C35" s="219"/>
      <c r="D35" s="33"/>
      <c r="E35" s="17"/>
      <c r="F35" s="17"/>
      <c r="G35" s="41"/>
      <c r="H35" s="41"/>
      <c r="I35" s="41"/>
      <c r="J35" s="41"/>
      <c r="K35" s="41"/>
      <c r="L35" s="128" t="str">
        <f t="shared" si="13"/>
        <v>Sweet Potato</v>
      </c>
      <c r="M35" s="48">
        <f t="shared" si="14"/>
        <v>0.40400000000000003</v>
      </c>
      <c r="N35" s="72">
        <f t="shared" si="8"/>
        <v>500</v>
      </c>
      <c r="O35" s="73">
        <v>138.44409088782774</v>
      </c>
      <c r="P35" s="74">
        <v>0</v>
      </c>
      <c r="Q35" s="74">
        <v>142.29325152469849</v>
      </c>
      <c r="R35" s="74">
        <v>0</v>
      </c>
      <c r="S35" s="68">
        <v>0</v>
      </c>
      <c r="T35" s="69">
        <f t="shared" si="9"/>
        <v>63.684281808400762</v>
      </c>
      <c r="U35" s="70">
        <f t="shared" si="15"/>
        <v>0</v>
      </c>
      <c r="V35" s="70">
        <f>IF(M35&lt;=0,0,Q35*$Q$11)</f>
        <v>25.612785274445727</v>
      </c>
      <c r="W35" s="70">
        <f t="shared" si="16"/>
        <v>28.603789421494891</v>
      </c>
      <c r="X35" s="70">
        <f t="shared" si="17"/>
        <v>0</v>
      </c>
      <c r="Y35" s="70">
        <f t="shared" si="10"/>
        <v>0</v>
      </c>
      <c r="Z35" s="70">
        <f t="shared" si="11"/>
        <v>0</v>
      </c>
      <c r="AA35" s="70">
        <f t="shared" si="12"/>
        <v>0</v>
      </c>
      <c r="AB35" s="113">
        <f>IF(M35&lt;=0,0,S35*$T$13)</f>
        <v>0</v>
      </c>
      <c r="AC35" s="102">
        <f t="shared" si="18"/>
        <v>89.297067082846496</v>
      </c>
      <c r="AD35" s="102">
        <f t="shared" si="19"/>
        <v>28.603789421494891</v>
      </c>
      <c r="AE35" s="110">
        <f t="shared" si="20"/>
        <v>0</v>
      </c>
      <c r="AF35" s="116">
        <f t="shared" si="21"/>
        <v>0</v>
      </c>
      <c r="AG35" s="71"/>
      <c r="AH35" s="71"/>
      <c r="AI35" s="71"/>
      <c r="AJ35" s="41"/>
      <c r="AK35" s="41"/>
    </row>
    <row r="36" spans="1:37" ht="17.5" x14ac:dyDescent="0.35">
      <c r="A36" s="41"/>
      <c r="B36" s="13"/>
      <c r="C36" s="75"/>
      <c r="D36" s="14"/>
      <c r="E36" s="17"/>
      <c r="F36" s="17"/>
      <c r="G36" s="41"/>
      <c r="H36" s="41"/>
      <c r="I36" s="41"/>
      <c r="J36" s="41"/>
      <c r="K36" s="41"/>
      <c r="L36" s="128" t="str">
        <f t="shared" si="13"/>
        <v>Cowpea</v>
      </c>
      <c r="M36" s="48">
        <f t="shared" si="14"/>
        <v>0.40400000000000003</v>
      </c>
      <c r="N36" s="72">
        <f t="shared" si="8"/>
        <v>1000</v>
      </c>
      <c r="O36" s="67">
        <v>46.33801168600511</v>
      </c>
      <c r="P36" s="68">
        <v>0</v>
      </c>
      <c r="Q36" s="68">
        <v>65.046817558575697</v>
      </c>
      <c r="R36" s="68">
        <v>23.844004056771013</v>
      </c>
      <c r="S36" s="68">
        <v>0</v>
      </c>
      <c r="T36" s="69">
        <f t="shared" si="9"/>
        <v>21.315485375562353</v>
      </c>
      <c r="U36" s="70">
        <f>IF(M36&lt;=0,0,P36*$R$10)</f>
        <v>0</v>
      </c>
      <c r="V36" s="70">
        <f>IF(M36&lt;=0,0,Q36*$Q$11)</f>
        <v>11.708427160543625</v>
      </c>
      <c r="W36" s="70">
        <f>IF(M36&lt;=0,0,Q36*$R$11)</f>
        <v>13.075711265624888</v>
      </c>
      <c r="X36" s="70">
        <f>IF(M36&lt;=0,0,R36*$S$12)</f>
        <v>11.874314020271964</v>
      </c>
      <c r="Y36" s="70">
        <f t="shared" si="10"/>
        <v>0</v>
      </c>
      <c r="Z36" s="70">
        <f t="shared" si="11"/>
        <v>0</v>
      </c>
      <c r="AA36" s="70">
        <f t="shared" si="12"/>
        <v>0</v>
      </c>
      <c r="AB36" s="113">
        <f t="shared" ref="AB36:AB38" si="22">IF(M36&lt;=0,0,S36*$T$13)</f>
        <v>0</v>
      </c>
      <c r="AC36" s="102">
        <f t="shared" si="18"/>
        <v>33.023912536105982</v>
      </c>
      <c r="AD36" s="102">
        <f t="shared" si="19"/>
        <v>13.075711265624888</v>
      </c>
      <c r="AE36" s="110">
        <f t="shared" si="20"/>
        <v>11.874314020271964</v>
      </c>
      <c r="AF36" s="116">
        <f t="shared" si="21"/>
        <v>0</v>
      </c>
      <c r="AG36" s="71"/>
      <c r="AH36" s="71"/>
      <c r="AI36" s="71"/>
      <c r="AJ36" s="41"/>
      <c r="AK36" s="41"/>
    </row>
    <row r="37" spans="1:37" ht="17.5" x14ac:dyDescent="0.35">
      <c r="A37" s="41"/>
      <c r="B37" s="75"/>
      <c r="C37" s="13"/>
      <c r="D37" s="13"/>
      <c r="E37" s="17"/>
      <c r="F37" s="17"/>
      <c r="G37" s="41"/>
      <c r="H37" s="41"/>
      <c r="I37" s="41"/>
      <c r="J37" s="41"/>
      <c r="K37" s="41"/>
      <c r="L37" s="128">
        <f t="shared" si="13"/>
        <v>0</v>
      </c>
      <c r="M37" s="56">
        <v>0</v>
      </c>
      <c r="N37" s="77">
        <v>0</v>
      </c>
      <c r="O37" s="67">
        <v>0</v>
      </c>
      <c r="P37" s="68">
        <v>0</v>
      </c>
      <c r="Q37" s="68">
        <v>0</v>
      </c>
      <c r="R37" s="68">
        <v>0</v>
      </c>
      <c r="S37" s="68">
        <v>0</v>
      </c>
      <c r="T37" s="69">
        <f t="shared" si="9"/>
        <v>0</v>
      </c>
      <c r="U37" s="70">
        <f t="shared" si="15"/>
        <v>0</v>
      </c>
      <c r="V37" s="70">
        <f t="shared" ref="V37" si="23">IF(M37&lt;=0,0,Q37*$Q$11)</f>
        <v>0</v>
      </c>
      <c r="W37" s="70">
        <f>IF(M37&lt;=0,0,Q37*$R$11)</f>
        <v>0</v>
      </c>
      <c r="X37" s="70">
        <f>IF(M37&lt;=0,0,R37*$S$12)</f>
        <v>0</v>
      </c>
      <c r="Y37" s="70">
        <f t="shared" si="10"/>
        <v>0</v>
      </c>
      <c r="Z37" s="70">
        <f t="shared" si="11"/>
        <v>0</v>
      </c>
      <c r="AA37" s="70">
        <f t="shared" si="12"/>
        <v>0</v>
      </c>
      <c r="AB37" s="114">
        <f t="shared" si="22"/>
        <v>0</v>
      </c>
      <c r="AC37" s="102">
        <f t="shared" si="18"/>
        <v>0</v>
      </c>
      <c r="AD37" s="102">
        <f t="shared" si="19"/>
        <v>0</v>
      </c>
      <c r="AE37" s="110">
        <f t="shared" si="20"/>
        <v>0</v>
      </c>
      <c r="AF37" s="116">
        <f t="shared" si="21"/>
        <v>0</v>
      </c>
      <c r="AG37" s="71"/>
      <c r="AH37" s="71"/>
      <c r="AI37" s="71"/>
      <c r="AJ37" s="41"/>
      <c r="AK37" s="41"/>
    </row>
    <row r="38" spans="1:37" ht="17.5" x14ac:dyDescent="0.35">
      <c r="A38" s="41"/>
      <c r="B38" s="13"/>
      <c r="C38" s="13"/>
      <c r="D38" s="75"/>
      <c r="E38" s="17"/>
      <c r="F38" s="17"/>
      <c r="G38" s="41"/>
      <c r="H38" s="41"/>
      <c r="I38" s="41"/>
      <c r="J38" s="41"/>
      <c r="K38" s="41"/>
      <c r="L38" s="128">
        <f t="shared" si="13"/>
        <v>0</v>
      </c>
      <c r="M38" s="64">
        <v>0</v>
      </c>
      <c r="N38" s="64">
        <v>0</v>
      </c>
      <c r="O38" s="101">
        <v>0</v>
      </c>
      <c r="P38" s="101">
        <v>0</v>
      </c>
      <c r="Q38" s="101">
        <v>0</v>
      </c>
      <c r="R38" s="101">
        <v>0</v>
      </c>
      <c r="S38" s="101">
        <v>0</v>
      </c>
      <c r="T38" s="101">
        <f t="shared" si="9"/>
        <v>0</v>
      </c>
      <c r="U38" s="101">
        <f>IF(M38&lt;=0,0,P38*$R$10)</f>
        <v>0</v>
      </c>
      <c r="V38" s="101">
        <f>IF(M38&lt;=0,0,Q38*$Q$11)</f>
        <v>0</v>
      </c>
      <c r="W38" s="101">
        <f>IF(M38&lt;=0,0,Q38*$R$11)</f>
        <v>0</v>
      </c>
      <c r="X38" s="101">
        <f>IF(M38&lt;=0,0,R38*$S$12)</f>
        <v>0</v>
      </c>
      <c r="Y38" s="101">
        <f t="shared" si="10"/>
        <v>0</v>
      </c>
      <c r="Z38" s="101">
        <f t="shared" si="11"/>
        <v>0</v>
      </c>
      <c r="AA38" s="101">
        <f t="shared" si="12"/>
        <v>0</v>
      </c>
      <c r="AB38" s="112">
        <f t="shared" si="22"/>
        <v>0</v>
      </c>
      <c r="AC38" s="102">
        <f t="shared" si="18"/>
        <v>0</v>
      </c>
      <c r="AD38" s="102">
        <f t="shared" si="19"/>
        <v>0</v>
      </c>
      <c r="AE38" s="110">
        <f t="shared" si="20"/>
        <v>0</v>
      </c>
      <c r="AF38" s="116">
        <f t="shared" si="21"/>
        <v>0</v>
      </c>
      <c r="AG38" s="62"/>
      <c r="AH38" s="62"/>
      <c r="AI38" s="62"/>
      <c r="AJ38" s="41"/>
      <c r="AK38" s="41"/>
    </row>
    <row r="39" spans="1:37" ht="17.5" x14ac:dyDescent="0.35">
      <c r="A39" s="41"/>
      <c r="B39" s="13"/>
      <c r="C39" s="13"/>
      <c r="D39" s="13"/>
      <c r="E39" s="17"/>
      <c r="F39" s="17"/>
      <c r="G39" s="41"/>
      <c r="H39" s="41"/>
      <c r="I39" s="41"/>
      <c r="J39" s="41"/>
      <c r="K39" s="41"/>
      <c r="L39" s="129" t="s">
        <v>35</v>
      </c>
      <c r="M39" s="63"/>
      <c r="N39" s="64"/>
      <c r="O39" s="101"/>
      <c r="P39" s="101"/>
      <c r="Q39" s="101"/>
      <c r="R39" s="101"/>
      <c r="S39" s="101"/>
      <c r="T39" s="103"/>
      <c r="U39" s="103"/>
      <c r="V39" s="103"/>
      <c r="W39" s="103"/>
      <c r="X39" s="103"/>
      <c r="Y39" s="103"/>
      <c r="Z39" s="103"/>
      <c r="AA39" s="103"/>
      <c r="AB39" s="115"/>
      <c r="AC39" s="104"/>
      <c r="AD39" s="104"/>
      <c r="AE39" s="104"/>
      <c r="AF39" s="115"/>
      <c r="AJ39" s="41"/>
      <c r="AK39" s="41"/>
    </row>
    <row r="40" spans="1:37" ht="17.5" x14ac:dyDescent="0.35">
      <c r="A40" s="41"/>
      <c r="B40" s="13"/>
      <c r="C40" s="13"/>
      <c r="D40" s="13"/>
      <c r="E40" s="17"/>
      <c r="F40" s="17"/>
      <c r="G40" s="41"/>
      <c r="H40" s="41"/>
      <c r="I40" s="41"/>
      <c r="J40" s="41"/>
      <c r="K40" s="41"/>
      <c r="L40" s="63"/>
      <c r="M40" s="63"/>
      <c r="N40" s="63" t="s">
        <v>103</v>
      </c>
      <c r="O40" s="101">
        <f>$M$32*O32+$M$33*O33+$M$34*O34+$M$35*O35+$M$36*O36+$M$37*O37+O38*$M$38</f>
        <v>194.89010816985302</v>
      </c>
      <c r="P40" s="101">
        <f t="shared" ref="P40:S40" si="24">$M$32*P32+$M$33*P33+$M$34*P34+$M$35*P35+$M$36*P36+$M$37*P37+P38*$M$38</f>
        <v>11.269324149751688</v>
      </c>
      <c r="Q40" s="101">
        <f>$M$32*Q32+$M$33*Q33+$M$34*Q34+$M$35*Q35+$M$36*Q36+$M$37*Q37+Q38*$M$38</f>
        <v>172.94079096784122</v>
      </c>
      <c r="R40" s="101">
        <f t="shared" si="24"/>
        <v>9.6329776389354898</v>
      </c>
      <c r="S40" s="101">
        <f t="shared" si="24"/>
        <v>0</v>
      </c>
      <c r="AJ40" s="41"/>
      <c r="AK40" s="41"/>
    </row>
    <row r="41" spans="1:37" ht="18" x14ac:dyDescent="0.4">
      <c r="A41" s="41"/>
      <c r="B41" s="202" t="s">
        <v>69</v>
      </c>
      <c r="C41" s="220"/>
      <c r="D41" s="220"/>
      <c r="E41" s="220"/>
      <c r="F41" s="220"/>
      <c r="G41" s="220"/>
      <c r="H41" s="41"/>
      <c r="I41" s="41"/>
      <c r="J41" s="41"/>
      <c r="K41" s="41"/>
      <c r="AJ41" s="41"/>
      <c r="AK41" s="41"/>
    </row>
    <row r="42" spans="1:37" ht="18" x14ac:dyDescent="0.4">
      <c r="A42" s="41"/>
      <c r="B42" s="26"/>
      <c r="C42" s="226" t="s">
        <v>130</v>
      </c>
      <c r="D42" s="227"/>
      <c r="E42" s="227"/>
      <c r="F42" s="227"/>
      <c r="G42" s="227"/>
      <c r="H42" s="41"/>
      <c r="I42" s="41"/>
      <c r="J42" s="41"/>
      <c r="K42" s="41"/>
      <c r="AJ42" s="41"/>
      <c r="AK42" s="41"/>
    </row>
    <row r="43" spans="1:37" ht="18" x14ac:dyDescent="0.4">
      <c r="A43" s="41"/>
      <c r="B43" s="36" t="s">
        <v>6</v>
      </c>
      <c r="C43" s="35" t="s">
        <v>9</v>
      </c>
      <c r="D43" s="35" t="s">
        <v>12</v>
      </c>
      <c r="E43" s="35" t="s">
        <v>13</v>
      </c>
      <c r="F43" s="35" t="s">
        <v>14</v>
      </c>
      <c r="G43" s="35" t="str">
        <f>B30</f>
        <v>xxx</v>
      </c>
      <c r="H43" s="41"/>
      <c r="I43" s="41"/>
      <c r="J43" s="41"/>
      <c r="K43" s="41"/>
      <c r="AJ43" s="41"/>
      <c r="AK43" s="41"/>
    </row>
    <row r="44" spans="1:37" ht="18" x14ac:dyDescent="0.35">
      <c r="A44" s="41"/>
      <c r="B44" s="36" t="str">
        <f>B16</f>
        <v>Rice, lowland Paddy</v>
      </c>
      <c r="C44" s="7">
        <f>O32*0.404</f>
        <v>97.450603706968579</v>
      </c>
      <c r="D44" s="7">
        <f t="shared" ref="D44:G50" si="25">P32*0.404</f>
        <v>0</v>
      </c>
      <c r="E44" s="7">
        <f t="shared" si="25"/>
        <v>48.626979324783761</v>
      </c>
      <c r="F44" s="7">
        <f t="shared" si="25"/>
        <v>0</v>
      </c>
      <c r="G44" s="7">
        <f t="shared" si="25"/>
        <v>0</v>
      </c>
      <c r="H44" s="41"/>
      <c r="I44" s="41"/>
      <c r="J44" s="41"/>
      <c r="K44" s="41"/>
      <c r="L44" s="42" t="s">
        <v>87</v>
      </c>
      <c r="N44" s="197" t="s">
        <v>49</v>
      </c>
      <c r="O44" s="198"/>
      <c r="P44" s="198"/>
      <c r="Q44" s="198"/>
      <c r="R44" s="198"/>
      <c r="S44" s="198"/>
      <c r="T44" s="198"/>
      <c r="U44" s="209"/>
      <c r="Y44" s="57"/>
      <c r="AJ44" s="41"/>
      <c r="AK44" s="41"/>
    </row>
    <row r="45" spans="1:37" ht="18" x14ac:dyDescent="0.35">
      <c r="A45" s="41"/>
      <c r="B45" s="36" t="str">
        <f t="shared" ref="B45:B50" si="26">B17</f>
        <v xml:space="preserve">Maize </v>
      </c>
      <c r="C45" s="7">
        <f t="shared" ref="C45:C50" si="27">O33*0.404</f>
        <v>22.78753502305598</v>
      </c>
      <c r="D45" s="7">
        <f t="shared" si="25"/>
        <v>0</v>
      </c>
      <c r="E45" s="7">
        <f t="shared" si="25"/>
        <v>2.2366627191760489</v>
      </c>
      <c r="F45" s="7">
        <f t="shared" si="25"/>
        <v>0</v>
      </c>
      <c r="G45" s="7">
        <f t="shared" si="25"/>
        <v>0</v>
      </c>
      <c r="H45" s="41"/>
      <c r="I45" s="41"/>
      <c r="J45" s="41"/>
      <c r="K45" s="41"/>
      <c r="N45" s="76" t="s">
        <v>6</v>
      </c>
      <c r="O45" s="51" t="s">
        <v>50</v>
      </c>
      <c r="P45" s="57" t="s">
        <v>51</v>
      </c>
      <c r="Q45" s="57" t="s">
        <v>52</v>
      </c>
      <c r="R45" s="57" t="s">
        <v>53</v>
      </c>
      <c r="S45" s="78" t="str">
        <f>P13</f>
        <v>xxx</v>
      </c>
      <c r="T45" s="51" t="s">
        <v>91</v>
      </c>
      <c r="U45" s="64" t="s">
        <v>10</v>
      </c>
      <c r="Y45" s="57"/>
      <c r="AJ45" s="41"/>
      <c r="AK45" s="41"/>
    </row>
    <row r="46" spans="1:37" ht="18" x14ac:dyDescent="0.35">
      <c r="A46" s="41"/>
      <c r="B46" s="36" t="str">
        <f t="shared" si="26"/>
        <v>Sorghum</v>
      </c>
      <c r="C46" s="7">
        <f t="shared" si="27"/>
        <v>0</v>
      </c>
      <c r="D46" s="7">
        <f t="shared" si="25"/>
        <v>11.269324149751688</v>
      </c>
      <c r="E46" s="7">
        <f t="shared" si="25"/>
        <v>38.311761014238662</v>
      </c>
      <c r="F46" s="7">
        <f t="shared" si="25"/>
        <v>0</v>
      </c>
      <c r="G46" s="7">
        <f t="shared" si="25"/>
        <v>0</v>
      </c>
      <c r="H46" s="41"/>
      <c r="I46" s="41"/>
      <c r="J46" s="41"/>
      <c r="K46" s="41"/>
      <c r="L46" s="57"/>
      <c r="N46" s="128" t="str">
        <f>B16</f>
        <v>Rice, lowland Paddy</v>
      </c>
      <c r="O46" s="59">
        <f>O32*$U$9</f>
        <v>265335.80217243917</v>
      </c>
      <c r="P46" s="60">
        <f>P32*$U$10</f>
        <v>0</v>
      </c>
      <c r="Q46" s="60">
        <f>Q32*$U$11</f>
        <v>180545.71531479119</v>
      </c>
      <c r="R46" s="60">
        <f>R32*$U$12</f>
        <v>0</v>
      </c>
      <c r="S46" s="60">
        <f>S32*$U$13</f>
        <v>0</v>
      </c>
      <c r="T46" s="90">
        <f>SUM(O46:S46)*M32</f>
        <v>180136.13306484107</v>
      </c>
      <c r="U46" s="221"/>
      <c r="Y46" s="57"/>
      <c r="AJ46" s="41"/>
      <c r="AK46" s="41"/>
    </row>
    <row r="47" spans="1:37" ht="15.75" customHeight="1" x14ac:dyDescent="0.35">
      <c r="A47" s="41"/>
      <c r="B47" s="36" t="str">
        <f t="shared" si="26"/>
        <v>Sweet Potato</v>
      </c>
      <c r="C47" s="7">
        <f t="shared" si="27"/>
        <v>55.931412718682409</v>
      </c>
      <c r="D47" s="7">
        <f t="shared" si="25"/>
        <v>0</v>
      </c>
      <c r="E47" s="7">
        <f t="shared" si="25"/>
        <v>57.486473615978191</v>
      </c>
      <c r="F47" s="7">
        <f t="shared" si="25"/>
        <v>0</v>
      </c>
      <c r="G47" s="7">
        <f t="shared" si="25"/>
        <v>0</v>
      </c>
      <c r="H47" s="41"/>
      <c r="I47" s="41"/>
      <c r="J47" s="41"/>
      <c r="K47" s="41"/>
      <c r="N47" s="128" t="str">
        <f t="shared" ref="N47:N52" si="28">B17</f>
        <v xml:space="preserve">Maize </v>
      </c>
      <c r="O47" s="59">
        <f t="shared" ref="O47:O52" si="29">O33*$U$9</f>
        <v>62045.268627132617</v>
      </c>
      <c r="P47" s="60">
        <f t="shared" ref="P47:P52" si="30">P33*$U$10</f>
        <v>0</v>
      </c>
      <c r="Q47" s="60">
        <f t="shared" ref="Q47:Q52" si="31">Q33*$U$11</f>
        <v>8304.4407890199836</v>
      </c>
      <c r="R47" s="60">
        <f t="shared" ref="R47:R52" si="32">R33*$U$12</f>
        <v>0</v>
      </c>
      <c r="S47" s="60">
        <f t="shared" ref="S47:S52" si="33">S33*$U$13</f>
        <v>0</v>
      </c>
      <c r="T47" s="91">
        <f>SUM(O47:S47)*M33</f>
        <v>28421.282604125652</v>
      </c>
      <c r="U47" s="222"/>
      <c r="AJ47" s="41"/>
      <c r="AK47" s="41"/>
    </row>
    <row r="48" spans="1:37" ht="18" x14ac:dyDescent="0.35">
      <c r="A48" s="41"/>
      <c r="B48" s="36" t="str">
        <f t="shared" si="26"/>
        <v>Cowpea</v>
      </c>
      <c r="C48" s="7">
        <f t="shared" si="27"/>
        <v>18.720556721146068</v>
      </c>
      <c r="D48" s="7">
        <f t="shared" si="25"/>
        <v>0</v>
      </c>
      <c r="E48" s="7">
        <f t="shared" si="25"/>
        <v>26.278914293664585</v>
      </c>
      <c r="F48" s="7">
        <f t="shared" si="25"/>
        <v>9.6329776389354898</v>
      </c>
      <c r="G48" s="7">
        <f t="shared" si="25"/>
        <v>0</v>
      </c>
      <c r="H48" s="41"/>
      <c r="I48" s="41"/>
      <c r="J48" s="41"/>
      <c r="K48" s="41"/>
      <c r="N48" s="128" t="str">
        <f t="shared" si="28"/>
        <v>Sorghum</v>
      </c>
      <c r="O48" s="59">
        <f t="shared" si="29"/>
        <v>0</v>
      </c>
      <c r="P48" s="60">
        <f t="shared" si="30"/>
        <v>36262.676719497998</v>
      </c>
      <c r="Q48" s="60">
        <f t="shared" si="31"/>
        <v>142246.63742910395</v>
      </c>
      <c r="R48" s="60">
        <f t="shared" si="32"/>
        <v>0</v>
      </c>
      <c r="S48" s="60">
        <f t="shared" si="33"/>
        <v>0</v>
      </c>
      <c r="T48" s="91">
        <f>SUM(O48:S48)*M34</f>
        <v>72117.762916035193</v>
      </c>
      <c r="U48" s="222"/>
      <c r="AJ48" s="41"/>
      <c r="AK48" s="41"/>
    </row>
    <row r="49" spans="1:37" ht="18" x14ac:dyDescent="0.35">
      <c r="A49" s="41"/>
      <c r="B49" s="36">
        <f t="shared" si="26"/>
        <v>0</v>
      </c>
      <c r="C49" s="7">
        <f t="shared" si="27"/>
        <v>0</v>
      </c>
      <c r="D49" s="7">
        <f t="shared" si="25"/>
        <v>0</v>
      </c>
      <c r="E49" s="7">
        <f t="shared" si="25"/>
        <v>0</v>
      </c>
      <c r="F49" s="7">
        <f t="shared" si="25"/>
        <v>0</v>
      </c>
      <c r="G49" s="7">
        <f t="shared" si="25"/>
        <v>0</v>
      </c>
      <c r="H49" s="41"/>
      <c r="I49" s="41"/>
      <c r="J49" s="41"/>
      <c r="K49" s="41"/>
      <c r="N49" s="128" t="str">
        <f t="shared" si="28"/>
        <v>Sweet Potato</v>
      </c>
      <c r="O49" s="59">
        <f t="shared" si="29"/>
        <v>152288.4999766105</v>
      </c>
      <c r="P49" s="60">
        <f t="shared" si="30"/>
        <v>0</v>
      </c>
      <c r="Q49" s="60">
        <f t="shared" si="31"/>
        <v>213439.87728704774</v>
      </c>
      <c r="R49" s="60">
        <f t="shared" si="32"/>
        <v>0</v>
      </c>
      <c r="S49" s="60">
        <f t="shared" si="33"/>
        <v>0</v>
      </c>
      <c r="T49" s="91">
        <f>SUM(O49:S49)*M35</f>
        <v>147754.26441451794</v>
      </c>
      <c r="U49" s="222"/>
      <c r="AJ49" s="41"/>
      <c r="AK49" s="41"/>
    </row>
    <row r="50" spans="1:37" ht="18" x14ac:dyDescent="0.35">
      <c r="A50" s="41"/>
      <c r="B50" s="36">
        <f t="shared" si="26"/>
        <v>0</v>
      </c>
      <c r="C50" s="7">
        <f t="shared" si="27"/>
        <v>0</v>
      </c>
      <c r="D50" s="7">
        <f t="shared" si="25"/>
        <v>0</v>
      </c>
      <c r="E50" s="7">
        <f t="shared" si="25"/>
        <v>0</v>
      </c>
      <c r="F50" s="7">
        <f t="shared" si="25"/>
        <v>0</v>
      </c>
      <c r="G50" s="7">
        <f t="shared" si="25"/>
        <v>0</v>
      </c>
      <c r="H50" s="41"/>
      <c r="I50" s="41"/>
      <c r="J50" s="41"/>
      <c r="K50" s="41"/>
      <c r="N50" s="128" t="str">
        <f t="shared" si="28"/>
        <v>Cowpea</v>
      </c>
      <c r="O50" s="59">
        <f t="shared" si="29"/>
        <v>50971.812854605618</v>
      </c>
      <c r="P50" s="60">
        <f t="shared" si="30"/>
        <v>0</v>
      </c>
      <c r="Q50" s="60">
        <f t="shared" si="31"/>
        <v>97570.22633786354</v>
      </c>
      <c r="R50" s="60">
        <f t="shared" si="32"/>
        <v>28612.804868125215</v>
      </c>
      <c r="S50" s="60">
        <f t="shared" si="33"/>
        <v>0</v>
      </c>
      <c r="T50" s="91">
        <f t="shared" ref="T50" si="34">SUM(O50:S50)*M36</f>
        <v>71570.557000480127</v>
      </c>
      <c r="U50" s="222"/>
      <c r="W50" s="215"/>
      <c r="X50" s="215"/>
      <c r="AJ50" s="41"/>
      <c r="AK50" s="41"/>
    </row>
    <row r="51" spans="1:37" ht="18" x14ac:dyDescent="0.4">
      <c r="A51" s="41"/>
      <c r="B51" s="34" t="s">
        <v>96</v>
      </c>
      <c r="C51" s="174">
        <f>O40</f>
        <v>194.89010816985302</v>
      </c>
      <c r="D51" s="174">
        <f t="shared" ref="D51:G51" si="35">P40</f>
        <v>11.269324149751688</v>
      </c>
      <c r="E51" s="174">
        <f t="shared" si="35"/>
        <v>172.94079096784122</v>
      </c>
      <c r="F51" s="174">
        <f t="shared" si="35"/>
        <v>9.6329776389354898</v>
      </c>
      <c r="G51" s="174">
        <f t="shared" si="35"/>
        <v>0</v>
      </c>
      <c r="H51" s="15"/>
      <c r="I51" s="41"/>
      <c r="J51" s="41"/>
      <c r="K51" s="41"/>
      <c r="N51" s="128">
        <f t="shared" si="28"/>
        <v>0</v>
      </c>
      <c r="O51" s="59">
        <f t="shared" si="29"/>
        <v>0</v>
      </c>
      <c r="P51" s="60">
        <f t="shared" si="30"/>
        <v>0</v>
      </c>
      <c r="Q51" s="60">
        <f t="shared" si="31"/>
        <v>0</v>
      </c>
      <c r="R51" s="60">
        <f t="shared" si="32"/>
        <v>0</v>
      </c>
      <c r="S51" s="60">
        <f t="shared" si="33"/>
        <v>0</v>
      </c>
      <c r="T51" s="92">
        <f>SUM(O51:S51)*M37</f>
        <v>0</v>
      </c>
      <c r="U51" s="222"/>
      <c r="W51" s="57"/>
      <c r="X51" s="57"/>
      <c r="AJ51" s="41"/>
      <c r="AK51" s="41"/>
    </row>
    <row r="52" spans="1:37" ht="18" x14ac:dyDescent="0.4">
      <c r="A52" s="41"/>
      <c r="B52" s="202" t="s">
        <v>131</v>
      </c>
      <c r="C52" s="224"/>
      <c r="D52" s="225"/>
      <c r="E52" s="41"/>
      <c r="F52" s="41"/>
      <c r="G52" s="41"/>
      <c r="H52" s="15"/>
      <c r="I52" s="41"/>
      <c r="J52" s="41"/>
      <c r="K52" s="41"/>
      <c r="N52" s="128">
        <f t="shared" si="28"/>
        <v>0</v>
      </c>
      <c r="O52" s="59">
        <f t="shared" si="29"/>
        <v>0</v>
      </c>
      <c r="P52" s="60">
        <f t="shared" si="30"/>
        <v>0</v>
      </c>
      <c r="Q52" s="60">
        <f t="shared" si="31"/>
        <v>0</v>
      </c>
      <c r="R52" s="60">
        <f t="shared" si="32"/>
        <v>0</v>
      </c>
      <c r="S52" s="60">
        <f t="shared" si="33"/>
        <v>0</v>
      </c>
      <c r="T52" s="92">
        <f>SUM(O52:S52)*M38</f>
        <v>0</v>
      </c>
      <c r="U52" s="223"/>
      <c r="W52" s="57"/>
      <c r="X52" s="57"/>
      <c r="Z52" s="57"/>
      <c r="AA52" s="57"/>
      <c r="AJ52" s="41"/>
      <c r="AK52" s="41"/>
    </row>
    <row r="53" spans="1:37" ht="36" customHeight="1" x14ac:dyDescent="0.3">
      <c r="A53" s="41"/>
      <c r="B53" s="36" t="s">
        <v>6</v>
      </c>
      <c r="C53" s="39" t="s">
        <v>65</v>
      </c>
      <c r="D53" s="40" t="s">
        <v>44</v>
      </c>
      <c r="E53" s="41"/>
      <c r="F53" s="41"/>
      <c r="G53" s="41"/>
      <c r="H53" s="16"/>
      <c r="I53" s="41"/>
      <c r="J53" s="41"/>
      <c r="K53" s="41"/>
      <c r="L53" s="96"/>
      <c r="M53" s="96"/>
      <c r="N53" s="105" t="s">
        <v>102</v>
      </c>
      <c r="O53" s="103">
        <f>SUM(O46:O52)</f>
        <v>530641.38363078795</v>
      </c>
      <c r="P53" s="103">
        <f t="shared" ref="P53:S53" si="36">SUM(P46:P52)</f>
        <v>36262.676719497998</v>
      </c>
      <c r="Q53" s="103">
        <f t="shared" si="36"/>
        <v>642106.89715782646</v>
      </c>
      <c r="R53" s="103">
        <f t="shared" si="36"/>
        <v>28612.804868125215</v>
      </c>
      <c r="S53" s="103">
        <f t="shared" si="36"/>
        <v>0</v>
      </c>
      <c r="T53" s="106">
        <f>T52+T51+T50+T49+T48+T47+T46</f>
        <v>500000</v>
      </c>
      <c r="U53" s="63">
        <f>C34</f>
        <v>500000</v>
      </c>
      <c r="Y53" s="57"/>
      <c r="AJ53" s="41"/>
      <c r="AK53" s="41"/>
    </row>
    <row r="54" spans="1:37" ht="18" x14ac:dyDescent="0.35">
      <c r="A54" s="41"/>
      <c r="B54" s="36" t="str">
        <f>B16</f>
        <v>Rice, lowland Paddy</v>
      </c>
      <c r="C54" s="8">
        <f>W60*0.404</f>
        <v>1132.1285005812324</v>
      </c>
      <c r="D54" s="8">
        <f>X60*0.404</f>
        <v>951992.36751639156</v>
      </c>
      <c r="E54" s="41"/>
      <c r="F54" s="41"/>
      <c r="G54" s="41"/>
      <c r="H54" s="79"/>
      <c r="I54" s="41"/>
      <c r="J54" s="41"/>
      <c r="K54" s="41"/>
      <c r="L54" s="96"/>
      <c r="M54" s="96"/>
      <c r="N54" s="96"/>
      <c r="Y54" s="80"/>
      <c r="AJ54" s="41"/>
      <c r="AK54" s="41"/>
    </row>
    <row r="55" spans="1:37" ht="18" x14ac:dyDescent="0.35">
      <c r="A55" s="41"/>
      <c r="B55" s="36" t="str">
        <f t="shared" ref="B55:B60" si="37">B17</f>
        <v xml:space="preserve">Maize </v>
      </c>
      <c r="C55" s="8">
        <f>W64*0.404</f>
        <v>479.38331536770391</v>
      </c>
      <c r="D55" s="8">
        <f>X64*0.404</f>
        <v>287971.70553855895</v>
      </c>
      <c r="E55" s="41"/>
      <c r="F55" s="41"/>
      <c r="G55" s="41"/>
      <c r="H55" s="79"/>
      <c r="I55" s="41"/>
      <c r="J55" s="41"/>
      <c r="K55" s="41"/>
      <c r="L55" s="96"/>
      <c r="M55" s="96"/>
      <c r="N55" s="96"/>
      <c r="Y55" s="80"/>
      <c r="AJ55" s="41"/>
      <c r="AK55" s="41"/>
    </row>
    <row r="56" spans="1:37" ht="18" x14ac:dyDescent="0.35">
      <c r="A56" s="41"/>
      <c r="B56" s="36" t="str">
        <f t="shared" si="37"/>
        <v>Sorghum</v>
      </c>
      <c r="C56" s="8">
        <f>W68*0.404</f>
        <v>344.71633446732449</v>
      </c>
      <c r="D56" s="8">
        <f>X68*0.404</f>
        <v>151947.85448772571</v>
      </c>
      <c r="E56" s="41"/>
      <c r="F56" s="41"/>
      <c r="G56" s="41"/>
      <c r="H56" s="79"/>
      <c r="I56" s="41"/>
      <c r="J56" s="41"/>
      <c r="K56" s="41"/>
      <c r="L56" s="96"/>
      <c r="M56" s="96"/>
      <c r="Y56" s="80"/>
      <c r="AJ56" s="41"/>
      <c r="AK56" s="41"/>
    </row>
    <row r="57" spans="1:37" ht="18" x14ac:dyDescent="0.35">
      <c r="A57" s="41"/>
      <c r="B57" s="36" t="str">
        <f t="shared" si="37"/>
        <v>Sweet Potato</v>
      </c>
      <c r="C57" s="8">
        <f>W72*0.404</f>
        <v>3621.336974195025</v>
      </c>
      <c r="D57" s="8">
        <f>X72*0.404</f>
        <v>1662914.2226829948</v>
      </c>
      <c r="E57" s="41"/>
      <c r="F57" s="41"/>
      <c r="G57" s="41"/>
      <c r="H57" s="79"/>
      <c r="I57" s="41"/>
      <c r="J57" s="41"/>
      <c r="K57" s="41"/>
      <c r="Y57" s="80"/>
      <c r="AJ57" s="41"/>
      <c r="AK57" s="41"/>
    </row>
    <row r="58" spans="1:37" ht="18" x14ac:dyDescent="0.35">
      <c r="A58" s="41"/>
      <c r="B58" s="36" t="str">
        <f t="shared" si="37"/>
        <v>Cowpea</v>
      </c>
      <c r="C58" s="8">
        <f>W76*0.404</f>
        <v>459.4739819402788</v>
      </c>
      <c r="D58" s="8">
        <f>X76*0.404</f>
        <v>387903.42493979866</v>
      </c>
      <c r="E58" s="41"/>
      <c r="F58" s="41"/>
      <c r="G58" s="41"/>
      <c r="H58" s="79"/>
      <c r="I58" s="41"/>
      <c r="J58" s="41"/>
      <c r="K58" s="41"/>
      <c r="L58" s="197" t="s">
        <v>48</v>
      </c>
      <c r="M58" s="198"/>
      <c r="N58" s="198"/>
      <c r="O58" s="198"/>
      <c r="P58" s="198"/>
      <c r="Q58" s="198"/>
      <c r="R58" s="199"/>
      <c r="S58" s="197" t="s">
        <v>46</v>
      </c>
      <c r="T58" s="198"/>
      <c r="U58" s="198"/>
      <c r="V58" s="198"/>
      <c r="W58" s="197" t="s">
        <v>97</v>
      </c>
      <c r="X58" s="199"/>
      <c r="AJ58" s="41"/>
      <c r="AK58" s="41"/>
    </row>
    <row r="59" spans="1:37" ht="18" x14ac:dyDescent="0.35">
      <c r="A59" s="41"/>
      <c r="B59" s="36">
        <f t="shared" si="37"/>
        <v>0</v>
      </c>
      <c r="C59" s="121">
        <f>W80*0.404</f>
        <v>0</v>
      </c>
      <c r="D59" s="121">
        <f>X80*0.404</f>
        <v>0</v>
      </c>
      <c r="E59" s="41"/>
      <c r="F59" s="41"/>
      <c r="G59" s="41"/>
      <c r="H59" s="79"/>
      <c r="I59" s="41"/>
      <c r="J59" s="41"/>
      <c r="K59" s="41"/>
      <c r="L59" s="63" t="s">
        <v>1</v>
      </c>
      <c r="M59" s="64" t="s">
        <v>99</v>
      </c>
      <c r="N59" s="64" t="s">
        <v>100</v>
      </c>
      <c r="O59" s="64" t="s">
        <v>101</v>
      </c>
      <c r="P59" s="63" t="s">
        <v>45</v>
      </c>
      <c r="Q59" s="64" t="s">
        <v>59</v>
      </c>
      <c r="R59" s="64" t="s">
        <v>47</v>
      </c>
      <c r="S59" s="64" t="s">
        <v>42</v>
      </c>
      <c r="T59" s="64" t="s">
        <v>43</v>
      </c>
      <c r="U59" s="64" t="s">
        <v>3</v>
      </c>
      <c r="V59" s="64" t="s">
        <v>2</v>
      </c>
      <c r="W59" s="64" t="s">
        <v>65</v>
      </c>
      <c r="X59" s="64" t="s">
        <v>44</v>
      </c>
      <c r="AJ59" s="41"/>
      <c r="AK59" s="41"/>
    </row>
    <row r="60" spans="1:37" ht="18" x14ac:dyDescent="0.35">
      <c r="A60" s="41"/>
      <c r="B60" s="36">
        <f t="shared" si="37"/>
        <v>0</v>
      </c>
      <c r="C60" s="121">
        <f>W84</f>
        <v>0</v>
      </c>
      <c r="D60" s="8">
        <f>X84</f>
        <v>0</v>
      </c>
      <c r="E60" s="41"/>
      <c r="F60" s="41"/>
      <c r="G60" s="41"/>
      <c r="H60" s="41"/>
      <c r="I60" s="41"/>
      <c r="J60" s="41"/>
      <c r="K60" s="41"/>
      <c r="L60" s="117" t="s">
        <v>105</v>
      </c>
      <c r="M60" s="118">
        <v>5.15</v>
      </c>
      <c r="N60" s="118">
        <v>2.238</v>
      </c>
      <c r="O60" s="118">
        <v>0.97599999999999998</v>
      </c>
      <c r="P60" s="64">
        <f>M60-N60</f>
        <v>2.9120000000000004</v>
      </c>
      <c r="Q60" s="101">
        <f>IFERROR((M60-N60*POWER(O60,AC32)-(P60)),0)</f>
        <v>2.1487410633998452</v>
      </c>
      <c r="R60" s="101">
        <f>Q60*1000</f>
        <v>2148.7410633998452</v>
      </c>
      <c r="S60" s="107">
        <f>R60*N32*M32</f>
        <v>868091.38961353758</v>
      </c>
      <c r="T60" s="120">
        <f>S60+S61+S62+S63</f>
        <v>1132128.5005812326</v>
      </c>
      <c r="U60" s="120">
        <f>T46</f>
        <v>180136.13306484107</v>
      </c>
      <c r="V60" s="120">
        <f>T60-U60</f>
        <v>951992.36751639156</v>
      </c>
      <c r="W60" s="106">
        <f>R60+R61+R62+R63</f>
        <v>2802.2982687654267</v>
      </c>
      <c r="X60" s="150">
        <f>IF(OR(M32=0,M32=1),$V$60,IF(M32&lt;1,$V$60/M32,IF(M32&gt;1,$V$60/M32,0)))</f>
        <v>2356416.7512781969</v>
      </c>
      <c r="AJ60" s="41"/>
      <c r="AK60" s="41"/>
    </row>
    <row r="61" spans="1:37" ht="18" x14ac:dyDescent="0.4">
      <c r="A61" s="41"/>
      <c r="B61" s="202" t="s">
        <v>94</v>
      </c>
      <c r="C61" s="203"/>
      <c r="D61" s="204"/>
      <c r="E61" s="41"/>
      <c r="F61" s="41"/>
      <c r="G61" s="41"/>
      <c r="H61" s="41"/>
      <c r="I61" s="41"/>
      <c r="J61" s="41"/>
      <c r="K61" s="41"/>
      <c r="L61" s="117" t="s">
        <v>118</v>
      </c>
      <c r="M61" s="118">
        <v>5.1260000000000003</v>
      </c>
      <c r="N61" s="118">
        <v>0.69499999999999995</v>
      </c>
      <c r="O61" s="118">
        <v>0.89</v>
      </c>
      <c r="P61" s="64">
        <f t="shared" ref="P61" si="38">M61-N61</f>
        <v>4.431</v>
      </c>
      <c r="Q61" s="101">
        <f>IFERROR(((M61-N61*POWER(O61,AD32)-(P61))),0)</f>
        <v>0.65355720536558159</v>
      </c>
      <c r="R61" s="101">
        <f t="shared" ref="R61" si="39">Q61*1000</f>
        <v>653.55720536558158</v>
      </c>
      <c r="S61" s="107">
        <f>R61*N32*M32</f>
        <v>264037.11096769496</v>
      </c>
      <c r="T61" s="120"/>
      <c r="U61" s="120"/>
      <c r="V61" s="120"/>
      <c r="W61" s="106"/>
      <c r="X61" s="63"/>
      <c r="AJ61" s="41"/>
      <c r="AK61" s="41"/>
    </row>
    <row r="62" spans="1:37" ht="35" x14ac:dyDescent="0.35">
      <c r="A62" s="41"/>
      <c r="B62" s="10" t="s">
        <v>93</v>
      </c>
      <c r="C62" s="205">
        <f>V98</f>
        <v>3442729.5751654697</v>
      </c>
      <c r="D62" s="206"/>
      <c r="E62" s="41"/>
      <c r="F62" s="41"/>
      <c r="G62" s="41"/>
      <c r="H62" s="41"/>
      <c r="I62" s="41"/>
      <c r="J62" s="41"/>
      <c r="K62" s="41"/>
      <c r="L62" s="168"/>
      <c r="M62" s="194"/>
      <c r="N62" s="194"/>
      <c r="O62" s="194"/>
      <c r="P62" s="151">
        <f t="shared" ref="P62:P69" si="40">M62-N62</f>
        <v>0</v>
      </c>
      <c r="Q62" s="152">
        <f>IFERROR(((M62-N62*POWER(O62,AE32)-(P62))),0)</f>
        <v>0</v>
      </c>
      <c r="R62" s="152">
        <f t="shared" ref="R62" si="41">Q62*1000</f>
        <v>0</v>
      </c>
      <c r="S62" s="153">
        <f>R62*N32*M32</f>
        <v>0</v>
      </c>
      <c r="T62" s="154"/>
      <c r="U62" s="154"/>
      <c r="V62" s="154"/>
      <c r="W62" s="164"/>
      <c r="X62" s="151"/>
      <c r="AJ62" s="41"/>
      <c r="AK62" s="41"/>
    </row>
    <row r="63" spans="1:37" x14ac:dyDescent="0.3">
      <c r="A63" s="41"/>
      <c r="B63" s="82"/>
      <c r="C63" s="82"/>
      <c r="D63" s="82"/>
      <c r="E63" s="82"/>
      <c r="F63" s="82"/>
      <c r="G63" s="11"/>
      <c r="H63" s="15"/>
      <c r="I63" s="41"/>
      <c r="J63" s="41"/>
      <c r="K63" s="41"/>
      <c r="L63" s="117"/>
      <c r="M63" s="118"/>
      <c r="N63" s="118"/>
      <c r="O63" s="118"/>
      <c r="P63" s="151">
        <f t="shared" si="40"/>
        <v>0</v>
      </c>
      <c r="Q63" s="101">
        <f>IFERROR((M63-N63*POWER(O63,AF32)-(P63)),0)</f>
        <v>0</v>
      </c>
      <c r="R63" s="152">
        <f t="shared" ref="R63" si="42">Q63*1000</f>
        <v>0</v>
      </c>
      <c r="S63" s="153">
        <f>R63*N32*M32</f>
        <v>0</v>
      </c>
      <c r="T63" s="154"/>
      <c r="U63" s="154"/>
      <c r="V63" s="154"/>
      <c r="W63" s="106"/>
      <c r="X63" s="150"/>
      <c r="AJ63" s="41"/>
      <c r="AK63" s="41"/>
    </row>
    <row r="64" spans="1:37" x14ac:dyDescent="0.3">
      <c r="A64" s="41"/>
      <c r="B64" s="82"/>
      <c r="C64" s="82"/>
      <c r="D64" s="82"/>
      <c r="E64" s="82"/>
      <c r="F64" s="82"/>
      <c r="G64" s="16"/>
      <c r="H64" s="15"/>
      <c r="I64" s="41"/>
      <c r="J64" s="41"/>
      <c r="K64" s="41"/>
      <c r="L64" s="168" t="s">
        <v>119</v>
      </c>
      <c r="M64" s="194">
        <v>4.7</v>
      </c>
      <c r="N64" s="194">
        <v>1.2</v>
      </c>
      <c r="O64" s="194">
        <v>0.86199999999999999</v>
      </c>
      <c r="P64" s="64">
        <f t="shared" si="40"/>
        <v>3.5</v>
      </c>
      <c r="Q64" s="101">
        <f>IFERROR((M64-N64*POWER(O64,AC33)-(P64)),0)</f>
        <v>1.1780431251597694</v>
      </c>
      <c r="R64" s="101">
        <f>Q64*1000</f>
        <v>1178.0431251597695</v>
      </c>
      <c r="S64" s="107">
        <f>R64*$N$33*$M$33</f>
        <v>314113.41889260098</v>
      </c>
      <c r="T64" s="120">
        <f>S64+S65+S66+S67</f>
        <v>316392.98814268463</v>
      </c>
      <c r="U64" s="120">
        <f>T47</f>
        <v>28421.282604125652</v>
      </c>
      <c r="V64" s="120">
        <f>T64-U64</f>
        <v>287971.70553855895</v>
      </c>
      <c r="W64" s="106">
        <f>R64+R65+R66+R67</f>
        <v>1186.5923647715442</v>
      </c>
      <c r="X64" s="63">
        <f>IF(OR(M33=0,M33=1),$V$64,IF(M33&lt;1,$V$64/M33,IF(M33&gt;1,$V$64/M33,0)))</f>
        <v>712801.25133306661</v>
      </c>
      <c r="AJ64" s="41"/>
      <c r="AK64" s="41"/>
    </row>
    <row r="65" spans="1:37" x14ac:dyDescent="0.3">
      <c r="A65" s="41"/>
      <c r="B65" s="82"/>
      <c r="C65" s="82"/>
      <c r="D65" s="82"/>
      <c r="E65" s="82"/>
      <c r="F65" s="82"/>
      <c r="G65" s="81"/>
      <c r="H65" s="16"/>
      <c r="I65" s="41"/>
      <c r="J65" s="41"/>
      <c r="K65" s="41"/>
      <c r="L65" s="117" t="s">
        <v>120</v>
      </c>
      <c r="M65" s="118">
        <v>3.4430000000000001</v>
      </c>
      <c r="N65" s="118">
        <v>9.2999999999999999E-2</v>
      </c>
      <c r="O65" s="118">
        <v>0.91700000000000004</v>
      </c>
      <c r="P65" s="64">
        <f t="shared" si="40"/>
        <v>3.35</v>
      </c>
      <c r="Q65" s="152">
        <f>IFERROR(((M65-N65*POWER(O65,AD33)-(P65))),0)</f>
        <v>8.5492396117747838E-3</v>
      </c>
      <c r="R65" s="101">
        <f t="shared" ref="R65:R67" si="43">Q65*1000</f>
        <v>8.5492396117747838</v>
      </c>
      <c r="S65" s="107">
        <f t="shared" ref="S65:S67" si="44">R65*$N$33*$M$33</f>
        <v>2279.5692500836285</v>
      </c>
      <c r="T65" s="120"/>
      <c r="U65" s="120"/>
      <c r="V65" s="120"/>
      <c r="W65" s="106"/>
      <c r="X65" s="63"/>
      <c r="AJ65" s="41"/>
      <c r="AK65" s="41"/>
    </row>
    <row r="66" spans="1:37" x14ac:dyDescent="0.3">
      <c r="A66" s="41"/>
      <c r="B66" s="82"/>
      <c r="C66" s="82"/>
      <c r="D66" s="82"/>
      <c r="E66" s="82"/>
      <c r="F66" s="82"/>
      <c r="G66" s="81"/>
      <c r="H66" s="82"/>
      <c r="I66" s="41"/>
      <c r="J66" s="41"/>
      <c r="K66" s="41"/>
      <c r="L66" s="117"/>
      <c r="M66" s="118"/>
      <c r="N66" s="118"/>
      <c r="O66" s="118"/>
      <c r="P66" s="64">
        <f t="shared" si="40"/>
        <v>0</v>
      </c>
      <c r="Q66" s="101">
        <f>IFERROR(((M66-N66*POWER(O66,AE33)-(P66))),0)</f>
        <v>0</v>
      </c>
      <c r="R66" s="101">
        <f t="shared" si="43"/>
        <v>0</v>
      </c>
      <c r="S66" s="107">
        <f t="shared" si="44"/>
        <v>0</v>
      </c>
      <c r="T66" s="120"/>
      <c r="U66" s="120"/>
      <c r="V66" s="120"/>
      <c r="W66" s="106"/>
      <c r="X66" s="150"/>
      <c r="AJ66" s="41"/>
      <c r="AK66" s="41"/>
    </row>
    <row r="67" spans="1:37" x14ac:dyDescent="0.3">
      <c r="A67" s="41"/>
      <c r="B67" s="82"/>
      <c r="C67" s="82"/>
      <c r="D67" s="82"/>
      <c r="E67" s="82"/>
      <c r="F67" s="82"/>
      <c r="G67" s="81"/>
      <c r="H67" s="82"/>
      <c r="I67" s="41"/>
      <c r="J67" s="41"/>
      <c r="K67" s="41"/>
      <c r="L67" s="168"/>
      <c r="M67" s="194"/>
      <c r="N67" s="194"/>
      <c r="O67" s="194"/>
      <c r="P67" s="151">
        <f t="shared" si="40"/>
        <v>0</v>
      </c>
      <c r="Q67" s="101">
        <f>IFERROR((M67-N67*POWER(O67,AF33)-(P67)),0)</f>
        <v>0</v>
      </c>
      <c r="R67" s="101">
        <f t="shared" si="43"/>
        <v>0</v>
      </c>
      <c r="S67" s="107">
        <f t="shared" si="44"/>
        <v>0</v>
      </c>
      <c r="T67" s="120"/>
      <c r="U67" s="120"/>
      <c r="V67" s="120"/>
      <c r="W67" s="106"/>
      <c r="X67" s="63"/>
      <c r="AJ67" s="41"/>
      <c r="AK67" s="41"/>
    </row>
    <row r="68" spans="1:37" x14ac:dyDescent="0.3">
      <c r="A68" s="41"/>
      <c r="B68" s="82"/>
      <c r="C68" s="82"/>
      <c r="D68" s="82"/>
      <c r="E68" s="82"/>
      <c r="F68" s="82"/>
      <c r="G68" s="81"/>
      <c r="H68" s="82"/>
      <c r="I68" s="41"/>
      <c r="J68" s="41"/>
      <c r="K68" s="41"/>
      <c r="L68" s="117" t="s">
        <v>121</v>
      </c>
      <c r="M68" s="118">
        <v>1.599</v>
      </c>
      <c r="N68" s="118">
        <v>9.9000000000000005E-2</v>
      </c>
      <c r="O68" s="118">
        <v>0.98</v>
      </c>
      <c r="P68" s="151">
        <f t="shared" si="40"/>
        <v>1.5</v>
      </c>
      <c r="Q68" s="152">
        <f>IFERROR((M68-N68*POWER(O68,AC34)-(P68)),0)</f>
        <v>2.8875811738042101E-2</v>
      </c>
      <c r="R68" s="101">
        <f t="shared" ref="R68:R71" si="45">Q68*1000</f>
        <v>28.875811738042103</v>
      </c>
      <c r="S68" s="107">
        <f>R68*$N$34*$M$34</f>
        <v>7582.7881624098563</v>
      </c>
      <c r="T68" s="120">
        <f>S68+S69+S70+S71</f>
        <v>224065.6174037609</v>
      </c>
      <c r="U68" s="120">
        <f>T48</f>
        <v>72117.762916035193</v>
      </c>
      <c r="V68" s="120">
        <f>T68-U68</f>
        <v>151947.85448772571</v>
      </c>
      <c r="W68" s="106">
        <f>R68+R69+R70+R71</f>
        <v>853.25825363199124</v>
      </c>
      <c r="X68" s="63">
        <f>IF(OR(M34=0,M34=1),$V$68,IF(M34&lt;1,$V$68/M34,IF(M34&gt;1,$V$68/M34,0)))</f>
        <v>376108.55071219231</v>
      </c>
      <c r="AJ68" s="41"/>
      <c r="AK68" s="41"/>
    </row>
    <row r="69" spans="1:37" ht="46.5" customHeight="1" x14ac:dyDescent="0.35">
      <c r="A69" s="41"/>
      <c r="B69" s="201" t="s">
        <v>108</v>
      </c>
      <c r="C69" s="201"/>
      <c r="D69" s="201"/>
      <c r="E69" s="201"/>
      <c r="F69" s="201"/>
      <c r="G69" s="201"/>
      <c r="H69" s="201"/>
      <c r="I69" s="201"/>
      <c r="J69" s="27"/>
      <c r="K69" s="27"/>
      <c r="L69" s="168" t="s">
        <v>122</v>
      </c>
      <c r="M69" s="194">
        <v>2.2839999999999998</v>
      </c>
      <c r="N69" s="194">
        <v>0.92500000000000004</v>
      </c>
      <c r="O69" s="194">
        <v>0.91400000000000003</v>
      </c>
      <c r="P69" s="151">
        <f t="shared" si="40"/>
        <v>1.3589999999999998</v>
      </c>
      <c r="Q69" s="152">
        <f>IFERROR(((M69-N69*POWER(O69,AD34)-(P69))),0)</f>
        <v>0.82438244189394916</v>
      </c>
      <c r="R69" s="152">
        <f t="shared" si="45"/>
        <v>824.38244189394914</v>
      </c>
      <c r="S69" s="107">
        <f t="shared" ref="S69:S71" si="46">R69*$N$34*$M$34</f>
        <v>216482.82924135105</v>
      </c>
      <c r="T69" s="154"/>
      <c r="U69" s="154"/>
      <c r="V69" s="154"/>
      <c r="W69" s="164"/>
      <c r="X69" s="165"/>
      <c r="AJ69" s="27"/>
      <c r="AK69" s="27"/>
    </row>
    <row r="70" spans="1:37" ht="17.25" customHeight="1" x14ac:dyDescent="0.3">
      <c r="A70" s="41"/>
      <c r="B70" s="82"/>
      <c r="C70" s="82"/>
      <c r="D70" s="82"/>
      <c r="E70" s="82"/>
      <c r="F70" s="82"/>
      <c r="G70" s="81"/>
      <c r="H70" s="82"/>
      <c r="I70" s="41"/>
      <c r="J70" s="41"/>
      <c r="K70" s="41"/>
      <c r="L70" s="117"/>
      <c r="M70" s="118"/>
      <c r="N70" s="118"/>
      <c r="O70" s="118"/>
      <c r="P70" s="151">
        <f t="shared" ref="P70:P71" si="47">M70-N70</f>
        <v>0</v>
      </c>
      <c r="Q70" s="152">
        <f>IFERROR(((M70-N70*POWER(O70,AE34)-(P70))),0)</f>
        <v>0</v>
      </c>
      <c r="R70" s="152">
        <f t="shared" si="45"/>
        <v>0</v>
      </c>
      <c r="S70" s="107">
        <f t="shared" si="46"/>
        <v>0</v>
      </c>
      <c r="T70" s="154"/>
      <c r="U70" s="154"/>
      <c r="V70" s="154"/>
      <c r="W70" s="164"/>
      <c r="X70" s="165"/>
      <c r="AJ70" s="41"/>
      <c r="AK70" s="41"/>
    </row>
    <row r="71" spans="1:37" ht="30" customHeight="1" x14ac:dyDescent="0.35">
      <c r="A71" s="41"/>
      <c r="B71" s="201" t="s">
        <v>109</v>
      </c>
      <c r="C71" s="201"/>
      <c r="D71" s="201"/>
      <c r="E71" s="201"/>
      <c r="F71" s="201"/>
      <c r="G71" s="201"/>
      <c r="H71" s="201"/>
      <c r="I71" s="201"/>
      <c r="J71" s="27"/>
      <c r="K71" s="27"/>
      <c r="L71" s="117"/>
      <c r="M71" s="118"/>
      <c r="N71" s="118"/>
      <c r="O71" s="118"/>
      <c r="P71" s="151">
        <f t="shared" si="47"/>
        <v>0</v>
      </c>
      <c r="Q71" s="152">
        <f>IFERROR((M71-N71*POWER(O71,AF34)-(P71)),0)</f>
        <v>0</v>
      </c>
      <c r="R71" s="152">
        <f t="shared" si="45"/>
        <v>0</v>
      </c>
      <c r="S71" s="107">
        <f t="shared" si="46"/>
        <v>0</v>
      </c>
      <c r="T71" s="154"/>
      <c r="U71" s="154"/>
      <c r="V71" s="154"/>
      <c r="W71" s="164"/>
      <c r="X71" s="151"/>
      <c r="AJ71" s="27"/>
      <c r="AK71" s="27"/>
    </row>
    <row r="72" spans="1:37" x14ac:dyDescent="0.3">
      <c r="A72" s="41"/>
      <c r="B72" s="82"/>
      <c r="C72" s="82"/>
      <c r="D72" s="82"/>
      <c r="E72" s="82"/>
      <c r="F72" s="82"/>
      <c r="G72" s="41"/>
      <c r="H72" s="41"/>
      <c r="I72" s="41"/>
      <c r="J72" s="41"/>
      <c r="K72" s="41"/>
      <c r="L72" s="117" t="s">
        <v>123</v>
      </c>
      <c r="M72" s="118">
        <v>18.699000000000002</v>
      </c>
      <c r="N72" s="118">
        <v>7.72</v>
      </c>
      <c r="O72" s="118">
        <v>0.95099999999999996</v>
      </c>
      <c r="P72" s="151">
        <f t="shared" ref="P72:P74" si="48">M72-N72</f>
        <v>10.979000000000003</v>
      </c>
      <c r="Q72" s="152">
        <f>IFERROR((M72-N72*POWER(O72,AC35)-(P72)),0)</f>
        <v>7.6330636389729669</v>
      </c>
      <c r="R72" s="152">
        <f t="shared" ref="R72:R74" si="49">Q72*1000</f>
        <v>7633.0636389729671</v>
      </c>
      <c r="S72" s="153">
        <f>R72*$N$35*$M$35</f>
        <v>1541878.8550725395</v>
      </c>
      <c r="T72" s="154">
        <f>S72+S73+S74+S75</f>
        <v>1810668.4870975127</v>
      </c>
      <c r="U72" s="154">
        <f>T49</f>
        <v>147754.26441451794</v>
      </c>
      <c r="V72" s="154">
        <f>T72-U72</f>
        <v>1662914.2226829948</v>
      </c>
      <c r="W72" s="106">
        <f>R72+R73+R74+R75</f>
        <v>8963.705381670854</v>
      </c>
      <c r="X72" s="150">
        <f>IF(OR(M35=0,M35=1),$V$72,IF(M35&lt;1,$V$72/M35,IF(M35&gt;1,$V$72/M35,0)))</f>
        <v>4116124.3135717688</v>
      </c>
      <c r="AJ72" s="41"/>
      <c r="AK72" s="41"/>
    </row>
    <row r="73" spans="1:37" ht="47.25" customHeight="1" x14ac:dyDescent="0.35">
      <c r="A73" s="41"/>
      <c r="B73" s="201" t="s">
        <v>110</v>
      </c>
      <c r="C73" s="201"/>
      <c r="D73" s="201"/>
      <c r="E73" s="201"/>
      <c r="F73" s="201"/>
      <c r="G73" s="201"/>
      <c r="H73" s="201"/>
      <c r="I73" s="201"/>
      <c r="J73" s="27"/>
      <c r="K73" s="27"/>
      <c r="L73" s="117" t="s">
        <v>124</v>
      </c>
      <c r="M73" s="118">
        <v>13.032999999999999</v>
      </c>
      <c r="N73" s="118">
        <v>1.4370000000000001</v>
      </c>
      <c r="O73" s="118">
        <v>0.91300000000000003</v>
      </c>
      <c r="P73" s="151">
        <f t="shared" si="48"/>
        <v>11.596</v>
      </c>
      <c r="Q73" s="152">
        <f>IFERROR(((M73-N73*POWER(O73,AD35)-(P73))),0)</f>
        <v>1.3306417426978872</v>
      </c>
      <c r="R73" s="152">
        <f t="shared" si="49"/>
        <v>1330.6417426978871</v>
      </c>
      <c r="S73" s="153">
        <f t="shared" ref="S73:S75" si="50">R73*$N$35*$M$35</f>
        <v>268789.63202497322</v>
      </c>
      <c r="T73" s="154"/>
      <c r="U73" s="154"/>
      <c r="V73" s="154"/>
      <c r="W73" s="164"/>
      <c r="X73" s="165"/>
      <c r="AJ73" s="27"/>
      <c r="AK73" s="27"/>
    </row>
    <row r="74" spans="1:37" ht="18" customHeight="1" x14ac:dyDescent="0.3">
      <c r="A74" s="41"/>
      <c r="B74" s="82"/>
      <c r="C74" s="82"/>
      <c r="D74" s="82"/>
      <c r="E74" s="82"/>
      <c r="F74" s="82"/>
      <c r="G74" s="81"/>
      <c r="H74" s="41"/>
      <c r="I74" s="41"/>
      <c r="J74" s="41"/>
      <c r="K74" s="41"/>
      <c r="L74" s="168"/>
      <c r="M74" s="119"/>
      <c r="N74" s="119"/>
      <c r="O74" s="119"/>
      <c r="P74" s="64">
        <f t="shared" si="48"/>
        <v>0</v>
      </c>
      <c r="Q74" s="101">
        <f>IFERROR(((M74-N74*POWER(O74,AE35)-(P74))),0)</f>
        <v>0</v>
      </c>
      <c r="R74" s="101">
        <f t="shared" si="49"/>
        <v>0</v>
      </c>
      <c r="S74" s="153">
        <f t="shared" si="50"/>
        <v>0</v>
      </c>
      <c r="T74" s="64"/>
      <c r="U74" s="64"/>
      <c r="V74" s="64"/>
      <c r="W74" s="106"/>
      <c r="X74" s="150"/>
      <c r="AJ74" s="41"/>
      <c r="AK74" s="41"/>
    </row>
    <row r="75" spans="1:37" ht="15.75" customHeight="1" x14ac:dyDescent="0.3">
      <c r="A75" s="41"/>
      <c r="B75" s="201" t="s">
        <v>98</v>
      </c>
      <c r="C75" s="201"/>
      <c r="D75" s="201"/>
      <c r="E75" s="201"/>
      <c r="F75" s="201"/>
      <c r="G75" s="201"/>
      <c r="H75" s="201"/>
      <c r="I75" s="201"/>
      <c r="J75" s="41"/>
      <c r="K75" s="41"/>
      <c r="L75" s="169"/>
      <c r="M75" s="170"/>
      <c r="N75" s="170"/>
      <c r="O75" s="170"/>
      <c r="P75" s="64">
        <f>M75-N75</f>
        <v>0</v>
      </c>
      <c r="Q75" s="101">
        <f>IFERROR((M75-N75*POWER(O75,AF35)-(P75)),0)</f>
        <v>0</v>
      </c>
      <c r="R75" s="101">
        <f>Q75*1000</f>
        <v>0</v>
      </c>
      <c r="S75" s="153">
        <f t="shared" si="50"/>
        <v>0</v>
      </c>
      <c r="T75" s="120"/>
      <c r="U75" s="120"/>
      <c r="V75" s="120"/>
      <c r="W75" s="106"/>
      <c r="X75" s="150"/>
      <c r="AJ75" s="41"/>
      <c r="AK75" s="41"/>
    </row>
    <row r="76" spans="1:37" ht="18.75" customHeight="1" x14ac:dyDescent="0.35">
      <c r="A76" s="41"/>
      <c r="B76" s="41"/>
      <c r="C76" s="41"/>
      <c r="D76" s="17"/>
      <c r="E76" s="17"/>
      <c r="F76" s="17"/>
      <c r="G76" s="41"/>
      <c r="H76" s="41"/>
      <c r="I76" s="41"/>
      <c r="J76" s="41"/>
      <c r="K76" s="41"/>
      <c r="L76" s="169" t="s">
        <v>127</v>
      </c>
      <c r="M76">
        <v>1.2225316801755788</v>
      </c>
      <c r="N76">
        <v>0.3825316801755787</v>
      </c>
      <c r="O76">
        <v>0.92300000000000004</v>
      </c>
      <c r="P76" s="156">
        <f>M76-N76</f>
        <v>0.84000000000000008</v>
      </c>
      <c r="Q76" s="157">
        <f>IFERROR((M76-N76*POWER(O76,AC36)-(P76)),0)</f>
        <v>0.3553990793038313</v>
      </c>
      <c r="R76" s="157">
        <f>Q76*1000</f>
        <v>355.39907930383129</v>
      </c>
      <c r="S76" s="158">
        <f>R76*$N$36*$M$36</f>
        <v>143581.22803874785</v>
      </c>
      <c r="T76" s="159">
        <f>S76+S77+S78+S79</f>
        <v>459473.98194027878</v>
      </c>
      <c r="U76" s="159">
        <f>T50</f>
        <v>71570.557000480127</v>
      </c>
      <c r="V76" s="159">
        <f>T76-U76</f>
        <v>387903.42493979866</v>
      </c>
      <c r="W76" s="160">
        <f>R76+R77+R78+R79</f>
        <v>1137.3118364858385</v>
      </c>
      <c r="X76" s="161">
        <f>IF(OR(M36=0,M36=1),$V$76,IF(M36&lt;1,$V$76/M36,IF(M36&gt;1,$V$76/M36,0)))</f>
        <v>960156.99242524419</v>
      </c>
      <c r="AJ76" s="41"/>
      <c r="AK76" s="41"/>
    </row>
    <row r="77" spans="1:37" ht="16.5" customHeight="1" x14ac:dyDescent="0.35">
      <c r="A77" s="41"/>
      <c r="B77" s="11"/>
      <c r="C77" s="11"/>
      <c r="D77" s="11"/>
      <c r="E77" s="11"/>
      <c r="F77" s="11"/>
      <c r="G77" s="11"/>
      <c r="H77" s="41"/>
      <c r="I77" s="41"/>
      <c r="J77" s="41"/>
      <c r="K77" s="41"/>
      <c r="L77" s="172" t="s">
        <v>126</v>
      </c>
      <c r="M77">
        <v>1.1377927495140003</v>
      </c>
      <c r="N77">
        <v>0.64029274951400028</v>
      </c>
      <c r="O77">
        <v>0.76</v>
      </c>
      <c r="P77" s="109">
        <f t="shared" ref="P77" si="51">M77-N77</f>
        <v>0.49750000000000005</v>
      </c>
      <c r="Q77" s="162">
        <f>IFERROR(((M77-N77*POWER(O77,AD36)-(P77))),0)</f>
        <v>0.62259445043307782</v>
      </c>
      <c r="R77" s="162">
        <f t="shared" ref="R77:R79" si="52">Q77*1000</f>
        <v>622.59445043307778</v>
      </c>
      <c r="S77" s="158">
        <f t="shared" ref="S77:S79" si="53">R77*$N$36*$M$36</f>
        <v>251528.15797496343</v>
      </c>
      <c r="T77" s="109"/>
      <c r="U77" s="155"/>
      <c r="V77" s="155"/>
      <c r="W77" s="163"/>
      <c r="X77" s="109"/>
      <c r="AJ77" s="41"/>
      <c r="AK77" s="41"/>
    </row>
    <row r="78" spans="1:37" ht="21" customHeight="1" x14ac:dyDescent="0.35">
      <c r="A78" s="41"/>
      <c r="B78" s="17"/>
      <c r="C78" s="11"/>
      <c r="D78" s="11"/>
      <c r="E78" s="11"/>
      <c r="F78" s="11"/>
      <c r="G78" s="11"/>
      <c r="H78" s="41"/>
      <c r="I78" s="41"/>
      <c r="J78" s="41"/>
      <c r="K78" s="41"/>
      <c r="L78" s="172" t="s">
        <v>128</v>
      </c>
      <c r="M78">
        <v>1.1106146675377853</v>
      </c>
      <c r="N78">
        <v>0.16811466753778537</v>
      </c>
      <c r="O78">
        <v>0.78</v>
      </c>
      <c r="P78" s="109">
        <f>M78-N78</f>
        <v>0.94249999999999989</v>
      </c>
      <c r="Q78" s="109">
        <f>IFERROR(((M78-N78*POWER(O78,AE36)-(P78))),0)</f>
        <v>0.15931830674892944</v>
      </c>
      <c r="R78" s="162">
        <f t="shared" si="52"/>
        <v>159.31830674892944</v>
      </c>
      <c r="S78" s="158">
        <f t="shared" si="53"/>
        <v>64364.595926567497</v>
      </c>
      <c r="T78" s="109"/>
      <c r="U78" s="163"/>
      <c r="V78" s="163"/>
      <c r="W78" s="162"/>
      <c r="X78" s="109"/>
      <c r="AJ78" s="41"/>
      <c r="AK78" s="41"/>
    </row>
    <row r="79" spans="1:37" ht="21.75" customHeight="1" x14ac:dyDescent="0.35">
      <c r="L79" s="172"/>
      <c r="M79"/>
      <c r="N79"/>
      <c r="O79"/>
      <c r="P79" s="109">
        <f>M79-N79</f>
        <v>0</v>
      </c>
      <c r="Q79" s="109">
        <f>IFERROR((M79-N79*POWER(O79,AF36)-(P79)),0)</f>
        <v>0</v>
      </c>
      <c r="R79" s="162">
        <f t="shared" si="52"/>
        <v>0</v>
      </c>
      <c r="S79" s="158">
        <f t="shared" si="53"/>
        <v>0</v>
      </c>
      <c r="T79" s="109"/>
      <c r="U79" s="109"/>
      <c r="V79" s="109"/>
      <c r="W79" s="109"/>
      <c r="X79" s="109"/>
    </row>
    <row r="80" spans="1:37" x14ac:dyDescent="0.3">
      <c r="L80" s="172"/>
      <c r="M80" s="171">
        <v>0</v>
      </c>
      <c r="N80" s="171">
        <v>0</v>
      </c>
      <c r="O80" s="171">
        <v>0</v>
      </c>
      <c r="P80" s="109">
        <f>M80-N80</f>
        <v>0</v>
      </c>
      <c r="Q80" s="109">
        <f>IFERROR((M80-N80*POWER(O80,AC37)-(P80)),0)</f>
        <v>0</v>
      </c>
      <c r="R80" s="162">
        <f t="shared" ref="R80:R82" si="54">Q80*1000</f>
        <v>0</v>
      </c>
      <c r="S80" s="109">
        <f>R80*$N$37*$M$37</f>
        <v>0</v>
      </c>
      <c r="T80" s="109">
        <f>S80+S81+S82+S83</f>
        <v>0</v>
      </c>
      <c r="U80" s="163">
        <f>T51</f>
        <v>0</v>
      </c>
      <c r="V80" s="109">
        <f>T80-U80</f>
        <v>0</v>
      </c>
      <c r="W80" s="162">
        <f>R80+R81+R82+R83</f>
        <v>0</v>
      </c>
      <c r="X80" s="109">
        <f>IF(OR(M37=0,M37=1),$V$80,IF(M37&lt;1,$V$80/M37,IF(M37&gt;1,$V$80/M37,0)))</f>
        <v>0</v>
      </c>
    </row>
    <row r="81" spans="9:24" x14ac:dyDescent="0.3">
      <c r="L81" s="172"/>
      <c r="M81" s="169"/>
      <c r="N81" s="169"/>
      <c r="O81" s="169"/>
      <c r="P81" s="155">
        <f t="shared" ref="P81" si="55">M81-N81</f>
        <v>0</v>
      </c>
      <c r="Q81" s="155">
        <f>IFERROR(((M81-N81*POWER(O81,AD37)-(P81))),0)</f>
        <v>0</v>
      </c>
      <c r="R81" s="155">
        <f t="shared" si="54"/>
        <v>0</v>
      </c>
      <c r="S81" s="109">
        <f t="shared" ref="S81:S83" si="56">R81*$N$37*$M$37</f>
        <v>0</v>
      </c>
      <c r="T81" s="155"/>
      <c r="U81" s="155"/>
      <c r="V81" s="155"/>
      <c r="W81" s="155"/>
      <c r="X81" s="155"/>
    </row>
    <row r="82" spans="9:24" ht="15.5" x14ac:dyDescent="0.3">
      <c r="L82" s="172"/>
      <c r="M82" s="173"/>
      <c r="N82" s="173"/>
      <c r="O82" s="173"/>
      <c r="P82" s="109">
        <f>M82-N82</f>
        <v>0</v>
      </c>
      <c r="Q82" s="109">
        <f>IFERROR(((M82-N82*POWER(O82,AE37)-(P82))),0)</f>
        <v>0</v>
      </c>
      <c r="R82" s="162">
        <f t="shared" si="54"/>
        <v>0</v>
      </c>
      <c r="S82" s="109">
        <f t="shared" si="56"/>
        <v>0</v>
      </c>
      <c r="T82" s="166"/>
      <c r="U82" s="166"/>
      <c r="V82" s="166"/>
      <c r="W82" s="163"/>
      <c r="X82" s="163"/>
    </row>
    <row r="83" spans="9:24" ht="15.5" x14ac:dyDescent="0.3">
      <c r="L83" s="172"/>
      <c r="M83" s="173"/>
      <c r="N83" s="173"/>
      <c r="O83" s="173"/>
      <c r="P83" s="109">
        <f>M83-N83</f>
        <v>0</v>
      </c>
      <c r="Q83" s="155">
        <f>IFERROR(((M83-N83*POWER(O83,AF37)-(P83))),0)</f>
        <v>0</v>
      </c>
      <c r="R83" s="162">
        <f>Q83*1000</f>
        <v>0</v>
      </c>
      <c r="S83" s="109">
        <f t="shared" si="56"/>
        <v>0</v>
      </c>
      <c r="T83" s="166"/>
      <c r="U83" s="166"/>
      <c r="V83" s="166"/>
      <c r="W83" s="163"/>
      <c r="X83" s="163"/>
    </row>
    <row r="84" spans="9:24" ht="15.5" x14ac:dyDescent="0.3">
      <c r="L84" s="169"/>
      <c r="M84" s="173"/>
      <c r="N84" s="173"/>
      <c r="O84" s="173"/>
      <c r="P84" s="109">
        <f>M84-N84</f>
        <v>0</v>
      </c>
      <c r="Q84" s="155">
        <f>IFERROR(((M84-N84*POWER(O84,AC38)-(P84))),0)</f>
        <v>0</v>
      </c>
      <c r="R84" s="162">
        <f>Q84*1000</f>
        <v>0</v>
      </c>
      <c r="S84" s="109">
        <f>R84*$N$38*$M$38</f>
        <v>0</v>
      </c>
      <c r="T84" s="166">
        <f>S84+S85+S86+S87</f>
        <v>0</v>
      </c>
      <c r="U84" s="166">
        <f>T52</f>
        <v>0</v>
      </c>
      <c r="V84" s="166">
        <f>T84-U84</f>
        <v>0</v>
      </c>
      <c r="W84" s="163">
        <f>R84+R85+R86+R87</f>
        <v>0</v>
      </c>
      <c r="X84" s="163">
        <f>IF(OR(M38=0,M38=1),$V$84,IF(M38&lt;1,$V$84/M38,IF(M38&gt;1,$V$84/M38,0)))</f>
        <v>0</v>
      </c>
    </row>
    <row r="85" spans="9:24" x14ac:dyDescent="0.3">
      <c r="L85" s="169"/>
      <c r="M85" s="169"/>
      <c r="N85" s="169"/>
      <c r="O85" s="169"/>
      <c r="P85" s="109">
        <f t="shared" ref="P85:P87" si="57">M85-N85</f>
        <v>0</v>
      </c>
      <c r="Q85" s="155">
        <f>IFERROR(((M85-N85*POWER(O85,AD38)-(P85))),0)</f>
        <v>0</v>
      </c>
      <c r="R85" s="162">
        <f t="shared" ref="R85:R87" si="58">Q85*1000</f>
        <v>0</v>
      </c>
      <c r="S85" s="109">
        <f t="shared" ref="S85:S87" si="59">R85*$N$38*$M$38</f>
        <v>0</v>
      </c>
      <c r="T85" s="155"/>
      <c r="U85" s="155"/>
      <c r="V85" s="155"/>
      <c r="W85" s="155"/>
      <c r="X85" s="155"/>
    </row>
    <row r="86" spans="9:24" x14ac:dyDescent="0.3">
      <c r="L86" s="169"/>
      <c r="M86" s="169"/>
      <c r="N86" s="169"/>
      <c r="O86" s="169"/>
      <c r="P86" s="109">
        <f t="shared" si="57"/>
        <v>0</v>
      </c>
      <c r="Q86" s="155">
        <f>IFERROR(((M86-N86*POWER(O86,AE38)-(P86))),0)</f>
        <v>0</v>
      </c>
      <c r="R86" s="162">
        <f t="shared" si="58"/>
        <v>0</v>
      </c>
      <c r="S86" s="109">
        <f t="shared" si="59"/>
        <v>0</v>
      </c>
      <c r="T86" s="155"/>
      <c r="U86" s="155"/>
      <c r="V86" s="155"/>
      <c r="W86" s="167"/>
      <c r="X86" s="155"/>
    </row>
    <row r="87" spans="9:24" x14ac:dyDescent="0.3">
      <c r="L87" s="117"/>
      <c r="M87" s="117"/>
      <c r="N87" s="117"/>
      <c r="O87" s="117"/>
      <c r="P87" s="64">
        <f t="shared" si="57"/>
        <v>0</v>
      </c>
      <c r="Q87" s="155">
        <f>IFERROR(((M87-N87*POWER(O87,AF38)-(P87))),0)</f>
        <v>0</v>
      </c>
      <c r="R87" s="101">
        <f t="shared" si="58"/>
        <v>0</v>
      </c>
      <c r="S87" s="109">
        <f t="shared" si="59"/>
        <v>0</v>
      </c>
      <c r="T87" s="64"/>
      <c r="U87" s="64"/>
      <c r="V87" s="64"/>
      <c r="W87" s="63"/>
      <c r="X87" s="63"/>
    </row>
    <row r="88" spans="9:24" x14ac:dyDescent="0.3">
      <c r="I88" s="42" t="s">
        <v>87</v>
      </c>
      <c r="L88" s="63"/>
      <c r="M88" s="63"/>
      <c r="N88" s="63"/>
      <c r="O88" s="63"/>
      <c r="P88" s="63"/>
      <c r="Q88" s="63"/>
      <c r="R88" s="63"/>
      <c r="S88" s="64"/>
      <c r="T88" s="64"/>
      <c r="U88" s="64"/>
      <c r="V88" s="64"/>
      <c r="W88" s="63"/>
      <c r="X88" s="63"/>
    </row>
    <row r="89" spans="9:24" x14ac:dyDescent="0.3">
      <c r="T89" s="58"/>
      <c r="U89" s="58"/>
      <c r="V89" s="58"/>
    </row>
    <row r="96" spans="9:24" x14ac:dyDescent="0.3">
      <c r="T96" s="64" t="s">
        <v>54</v>
      </c>
      <c r="U96" s="64"/>
      <c r="V96" s="64"/>
    </row>
    <row r="97" spans="20:22" x14ac:dyDescent="0.3">
      <c r="T97" s="64" t="s">
        <v>55</v>
      </c>
      <c r="U97" s="64" t="s">
        <v>56</v>
      </c>
      <c r="V97" s="64" t="s">
        <v>57</v>
      </c>
    </row>
    <row r="98" spans="20:22" x14ac:dyDescent="0.3">
      <c r="T98" s="120">
        <f>SUM(T60:T87)</f>
        <v>3942729.5751654692</v>
      </c>
      <c r="U98" s="120">
        <f>SUM(U60:U87)</f>
        <v>500000</v>
      </c>
      <c r="V98" s="120">
        <f>SUM(V60:V87)</f>
        <v>3442729.5751654697</v>
      </c>
    </row>
  </sheetData>
  <sheetProtection password="C75C" sheet="1" objects="1" scenarios="1"/>
  <mergeCells count="28">
    <mergeCell ref="C10:D10"/>
    <mergeCell ref="C12:D12"/>
    <mergeCell ref="C11:D11"/>
    <mergeCell ref="B24:G24"/>
    <mergeCell ref="W50:X50"/>
    <mergeCell ref="N44:U44"/>
    <mergeCell ref="B14:D14"/>
    <mergeCell ref="B33:C33"/>
    <mergeCell ref="B35:C35"/>
    <mergeCell ref="B41:G41"/>
    <mergeCell ref="U46:U52"/>
    <mergeCell ref="B52:D52"/>
    <mergeCell ref="C42:G42"/>
    <mergeCell ref="N16:X16"/>
    <mergeCell ref="Y16:AB16"/>
    <mergeCell ref="T30:AB30"/>
    <mergeCell ref="AC30:AF30"/>
    <mergeCell ref="B75:I75"/>
    <mergeCell ref="S58:V58"/>
    <mergeCell ref="W58:X58"/>
    <mergeCell ref="L58:R58"/>
    <mergeCell ref="B73:I73"/>
    <mergeCell ref="B71:I71"/>
    <mergeCell ref="B61:D61"/>
    <mergeCell ref="B69:I69"/>
    <mergeCell ref="C62:D62"/>
    <mergeCell ref="O30:S30"/>
    <mergeCell ref="L30:N30"/>
  </mergeCells>
  <pageMargins left="0.7" right="0.7" top="0.75" bottom="0.75" header="0.3" footer="0.3"/>
  <pageSetup scale="15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Button 2">
              <controlPr defaultSize="0" print="0" autoFill="0" autoPict="0" macro="[0]!Optimize_Solver">
                <anchor moveWithCells="1" sizeWithCells="1">
                  <from>
                    <xdr:col>1</xdr:col>
                    <xdr:colOff>76200</xdr:colOff>
                    <xdr:row>36</xdr:row>
                    <xdr:rowOff>88900</xdr:rowOff>
                  </from>
                  <to>
                    <xdr:col>1</xdr:col>
                    <xdr:colOff>1657350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5" name="Button 8">
              <controlPr defaultSize="0" print="0" autoFill="0" autoPict="0" macro="[0]!Reset_Form">
                <anchor moveWithCells="1" sizeWithCells="1">
                  <from>
                    <xdr:col>2</xdr:col>
                    <xdr:colOff>431800</xdr:colOff>
                    <xdr:row>36</xdr:row>
                    <xdr:rowOff>76200</xdr:rowOff>
                  </from>
                  <to>
                    <xdr:col>3</xdr:col>
                    <xdr:colOff>755650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6" name="Button 10">
              <controlPr defaultSize="0" print="0" autoFill="0" autoPict="0" macro="[0]!Help">
                <anchor moveWithCells="1" sizeWithCells="1">
                  <from>
                    <xdr:col>1</xdr:col>
                    <xdr:colOff>266700</xdr:colOff>
                    <xdr:row>4</xdr:row>
                    <xdr:rowOff>0</xdr:rowOff>
                  </from>
                  <to>
                    <xdr:col>1</xdr:col>
                    <xdr:colOff>1765300</xdr:colOff>
                    <xdr:row>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7" name="Button 15">
              <controlPr defaultSize="0" print="0" autoFill="0" autoPict="0" macro="[0]!Print_Output">
                <anchor moveWithCells="1" sizeWithCells="1">
                  <from>
                    <xdr:col>1</xdr:col>
                    <xdr:colOff>76200</xdr:colOff>
                    <xdr:row>64</xdr:row>
                    <xdr:rowOff>95250</xdr:rowOff>
                  </from>
                  <to>
                    <xdr:col>1</xdr:col>
                    <xdr:colOff>1657350</xdr:colOff>
                    <xdr:row>65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8" name="Button 16">
              <controlPr defaultSize="0" print="0" autoFill="0" autoPict="0" macro="[0]!Hide_Protect">
                <anchor moveWithCells="1" sizeWithCells="1">
                  <from>
                    <xdr:col>11</xdr:col>
                    <xdr:colOff>76200</xdr:colOff>
                    <xdr:row>2</xdr:row>
                    <xdr:rowOff>95250</xdr:rowOff>
                  </from>
                  <to>
                    <xdr:col>11</xdr:col>
                    <xdr:colOff>1657350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Help and Instructions</vt:lpstr>
      <vt:lpstr>Fertilizer Optimization</vt:lpstr>
      <vt:lpstr>Output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mstockton2</dc:creator>
  <cp:lastModifiedBy>Madeline Smith</cp:lastModifiedBy>
  <cp:lastPrinted>2013-06-19T13:17:20Z</cp:lastPrinted>
  <dcterms:created xsi:type="dcterms:W3CDTF">2011-08-08T15:04:31Z</dcterms:created>
  <dcterms:modified xsi:type="dcterms:W3CDTF">2026-01-06T21:34:34Z</dcterms:modified>
</cp:coreProperties>
</file>