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3CF9506C-A6AA-44CA-B851-7ED75A4E137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G50" i="2" l="1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M33" i="2"/>
  <c r="M34" i="2"/>
  <c r="M35" i="2"/>
  <c r="M36" i="2"/>
  <c r="M37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X68" i="2" l="1"/>
  <c r="D56" i="2" s="1"/>
  <c r="T53" i="2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l="1"/>
  <c r="X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<sst xmlns="http://schemas.openxmlformats.org/spreadsheetml/2006/main" count="158" uniqueCount="136">
  <si>
    <t>Sorghum</t>
  </si>
  <si>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</si>
  <si>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</si>
  <si>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</si>
  <si>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</si>
  <si>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</si>
  <si>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</si>
  <si>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</si>
  <si>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</si>
  <si>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</si>
  <si>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</si>
  <si>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</si>
  <si>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</si>
  <si>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</si>
  <si>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</si>
  <si>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</si>
  <si>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</si>
  <si>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</si>
  <si>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</si>
  <si>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</si>
  <si>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</si>
  <si>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</si>
  <si>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</si>
  <si>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</si>
  <si>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</si>
  <si>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</si>
  <si>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</si>
  <si>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</si>
  <si>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</si>
  <si>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</si>
  <si>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</si>
  <si>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</si>
  <si>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</si>
  <si>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</si>
  <si>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</si>
  <si>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</si>
  <si>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</si>
  <si>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</si>
  <si>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</si>
  <si>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</si>
  <si>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</si>
  <si>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</si>
  <si>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</si>
  <si>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</si>
  <si>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</si>
  <si>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</si>
  <si>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</si>
  <si>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</si>
  <si>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</si>
  <si>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</si>
  <si>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</si>
  <si>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</si>
  <si>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</si>
  <si>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</si>
  <si>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</si>
  <si>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</si>
  <si>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</si>
  <si>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</si>
  <si>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</si>
  <si>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</si>
  <si>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</si>
  <si>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</si>
  <si>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</si>
  <si>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</si>
  <si>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</si>
  <si>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</si>
  <si>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</si>
  <si>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</si>
  <si>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</si>
  <si>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</si>
  <si>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</si>
  <si>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</si>
  <si>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</si>
  <si>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</si>
  <si>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</si>
  <si>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</si>
  <si>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</si>
  <si>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</si>
  <si>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</si>
  <si>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</si>
  <si>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</si>
  <si>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</si>
  <si>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</si>
  <si>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</si>
  <si>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</si>
  <si>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</si>
  <si>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</si>
  <si>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</si>
  <si>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</si>
  <si>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</si>
  <si>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</si>
  <si>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</si>
  <si>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</si>
  <si>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</si>
  <si>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</si>
  <si>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</si>
  <si>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</si>
  <si>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</si>
  <si>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</si>
  <si>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</si>
  <si>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</si>
  <si>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</si>
  <si>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</si>
  <si>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</si>
  <si>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</si>
  <si>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Rice, lowland N</t>
  </si>
  <si>
    <t>Fertilizer Nutrient Total Maxes</t>
  </si>
  <si>
    <t>Rice, lowland Paddy</t>
  </si>
  <si>
    <t>S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</si>
  <si>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</si>
  <si>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</si>
  <si>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</si>
  <si>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 xml:space="preserve">Maize </t>
  </si>
  <si>
    <t>Sweet Potato</t>
  </si>
  <si>
    <t>Other</t>
  </si>
  <si>
    <t>xx Max</t>
  </si>
  <si>
    <t>Other sum</t>
  </si>
  <si>
    <t>Other kg (S)</t>
  </si>
  <si>
    <t>xx sum</t>
  </si>
  <si>
    <t>Maize N</t>
  </si>
  <si>
    <t>Sorghum N</t>
  </si>
  <si>
    <t>Sweet Potato N</t>
  </si>
  <si>
    <t>Soybean</t>
  </si>
  <si>
    <t>Groundnut</t>
  </si>
  <si>
    <t>Maize PwN</t>
  </si>
  <si>
    <t>Maize KwNP</t>
  </si>
  <si>
    <t>Sorghum PwN</t>
  </si>
  <si>
    <t>Sorghum KwNP</t>
  </si>
  <si>
    <t>Sweet Potato P</t>
  </si>
  <si>
    <t>Soybean KwP</t>
  </si>
  <si>
    <t>Soybean PwK</t>
  </si>
  <si>
    <t>Groundnut P</t>
  </si>
  <si>
    <t>Groundnut KwP</t>
  </si>
  <si>
    <t>Application Rate - kg/Ac</t>
  </si>
  <si>
    <t>Expected Average Effects per Ac</t>
  </si>
  <si>
    <t>Area Planted 
(Ac)*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</si>
</sst>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Western Zone, Tanzania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3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/>
      <c r="E8" s="97"/>
      <c r="F8" s="97"/>
      <c r="G8" s="97"/>
      <c r="H8" s="41"/>
      <c r="I8" s="41"/>
      <c r="J8" s="41"/>
      <c r="K8" s="41"/>
      <c r="N8" s="43" t="s">
        <v>18</v>
      </c>
      <c r="O8" s="44"/>
      <c r="P8" s="45" t="s">
        <v>60</v>
      </c>
      <c r="Q8" s="46" t="s">
        <v>19</v>
      </c>
      <c r="R8" s="46" t="s">
        <v>21</v>
      </c>
      <c r="S8" s="47" t="s">
        <v>20</v>
      </c>
      <c r="T8" s="129" t="s">
        <v>114</v>
      </c>
      <c r="U8" s="130" t="s">
        <v>36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3">
        <f>IF(OR(D26=0,D26="%"),0,D26*0.437)</f>
        <v>0</v>
      </c>
      <c r="S9" s="84">
        <f>IF(OR(E26=0,E26="%"),0,E26*0.83)</f>
        <v>0</v>
      </c>
      <c r="T9" s="131">
        <f>IF(OR(F26=0,F26="%"),0,F26)</f>
        <v>0</v>
      </c>
      <c r="U9" s="132">
        <f>IF(G26&lt;=0,0,(G26/50))</f>
        <v>1100</v>
      </c>
      <c r="AJ9" s="41"/>
      <c r="AK9" s="41"/>
    </row>
    <row r="10" spans="1:37" ht="18" x14ac:dyDescent="0.4">
      <c r="A10" s="41"/>
      <c r="B10" s="50" t="s">
        <v>76</v>
      </c>
      <c r="C10" s="194" t="s">
        <v>85</v>
      </c>
      <c r="D10" s="194"/>
      <c r="E10" s="11"/>
      <c r="F10" s="11"/>
      <c r="G10" s="41"/>
      <c r="H10" s="41"/>
      <c r="I10" s="41"/>
      <c r="J10" s="41"/>
      <c r="K10" s="41"/>
      <c r="N10" s="1" t="s">
        <v>15</v>
      </c>
      <c r="O10" s="2"/>
      <c r="P10" s="51" t="s">
        <v>12</v>
      </c>
      <c r="Q10" s="52">
        <f t="shared" ref="Q10:Q13" si="0">IF(OR(C27=0,C27="%"),0,C27)</f>
        <v>0</v>
      </c>
      <c r="R10" s="85">
        <f>IF(OR(D27=0,D27="%"),0,D27*0.437)</f>
        <v>0.20102</v>
      </c>
      <c r="S10" s="86">
        <f>IF(OR(E27=0,E27="%"),0,E27*0.83)</f>
        <v>0</v>
      </c>
      <c r="T10" s="131">
        <f t="shared" ref="T10:T13" si="1">IF(OR(F27=0,F27="%"),0,F27)</f>
        <v>0</v>
      </c>
      <c r="U10" s="132">
        <f>IF(G27&lt;=0,0,(G27/50))</f>
        <v>1300</v>
      </c>
      <c r="AJ10" s="41"/>
      <c r="AK10" s="41"/>
    </row>
    <row r="11" spans="1:37" ht="18" x14ac:dyDescent="0.4">
      <c r="A11" s="41"/>
      <c r="B11" s="50" t="s">
        <v>77</v>
      </c>
      <c r="C11" s="194" t="s">
        <v>85</v>
      </c>
      <c r="D11" s="194"/>
      <c r="E11" s="16"/>
      <c r="F11" s="16"/>
      <c r="G11" s="41"/>
      <c r="H11" s="41"/>
      <c r="I11" s="41"/>
      <c r="J11" s="41"/>
      <c r="K11" s="41"/>
      <c r="N11" s="1" t="s">
        <v>16</v>
      </c>
      <c r="O11" s="2"/>
      <c r="P11" s="51" t="s">
        <v>13</v>
      </c>
      <c r="Q11" s="94">
        <f>IF(OR(C28=0,C28="%"),0,C28)</f>
        <v>0.18</v>
      </c>
      <c r="R11" s="85">
        <f>IF(OR(D28=0,D28="%"),0,D28*0.437)</f>
        <v>0.20102</v>
      </c>
      <c r="S11" s="86">
        <f>IF(OR(E28=0,E28="%"),0,E28*0.83)</f>
        <v>0</v>
      </c>
      <c r="T11" s="131">
        <f t="shared" si="1"/>
        <v>0</v>
      </c>
      <c r="U11" s="132">
        <f>IF(G28&lt;=0,0,(G28/50))</f>
        <v>1500</v>
      </c>
      <c r="AJ11" s="41"/>
      <c r="AK11" s="41"/>
    </row>
    <row r="12" spans="1:37" ht="18" x14ac:dyDescent="0.4">
      <c r="A12" s="41"/>
      <c r="B12" s="50" t="s">
        <v>78</v>
      </c>
      <c r="C12" s="195">
        <f ca="1">TODAY()</f>
        <v>46028</v>
      </c>
      <c r="D12" s="195"/>
      <c r="E12" s="17"/>
      <c r="F12" s="17"/>
      <c r="G12" s="41"/>
      <c r="H12" s="41"/>
      <c r="I12" s="41"/>
      <c r="J12" s="41"/>
      <c r="K12" s="41"/>
      <c r="N12" s="22" t="s">
        <v>17</v>
      </c>
      <c r="O12" s="25"/>
      <c r="P12" s="54" t="s">
        <v>22</v>
      </c>
      <c r="Q12" s="52">
        <f t="shared" si="0"/>
        <v>0</v>
      </c>
      <c r="R12" s="85">
        <f>IF(OR(D29=0,D29="%"),0,D29*0.437)</f>
        <v>0</v>
      </c>
      <c r="S12" s="86">
        <f>IF(OR(E29=0,E29="%"),0,E29*0.83)</f>
        <v>0.49799999999999994</v>
      </c>
      <c r="T12" s="131">
        <f t="shared" si="1"/>
        <v>0</v>
      </c>
      <c r="U12" s="132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3" t="s">
        <v>85</v>
      </c>
      <c r="O13" s="134"/>
      <c r="P13" s="135" t="str">
        <f>LEFT(N13,4)</f>
        <v>xxx</v>
      </c>
      <c r="Q13" s="136">
        <f t="shared" si="0"/>
        <v>0</v>
      </c>
      <c r="R13" s="137">
        <f>IF(OR(D30=0,D30="%"),0,D30*0.437)</f>
        <v>0</v>
      </c>
      <c r="S13" s="138">
        <f>IF(OR(E30=0,E30="%"),0,E30*0.83)</f>
        <v>0</v>
      </c>
      <c r="T13" s="131">
        <f t="shared" si="1"/>
        <v>0</v>
      </c>
      <c r="U13" s="132">
        <f>IF(G30&lt;=0,0,(G30/50))</f>
        <v>0</v>
      </c>
      <c r="AJ13" s="41"/>
      <c r="AK13" s="41"/>
    </row>
    <row r="14" spans="1:37" ht="18" x14ac:dyDescent="0.4">
      <c r="A14" s="41"/>
      <c r="B14" s="203" t="s">
        <v>5</v>
      </c>
      <c r="C14" s="204"/>
      <c r="D14" s="205"/>
      <c r="E14" s="17"/>
      <c r="F14" s="17"/>
      <c r="G14" s="41"/>
      <c r="H14" s="41"/>
      <c r="I14" s="41"/>
      <c r="J14" s="41"/>
      <c r="K14" s="41"/>
      <c r="P14" s="56"/>
      <c r="Q14" s="53"/>
      <c r="R14" s="53"/>
      <c r="S14" s="53"/>
      <c r="T14" s="57"/>
      <c r="AJ14" s="41"/>
      <c r="AK14" s="41"/>
    </row>
    <row r="15" spans="1:37" ht="54" x14ac:dyDescent="0.3">
      <c r="A15" s="41"/>
      <c r="B15" s="38" t="s">
        <v>6</v>
      </c>
      <c r="C15" s="3" t="s">
        <v>135</v>
      </c>
      <c r="D15" s="4" t="s">
        <v>95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6" t="s">
        <v>107</v>
      </c>
      <c r="C16" s="82">
        <v>1</v>
      </c>
      <c r="D16" s="82">
        <v>1000</v>
      </c>
      <c r="E16" s="17"/>
      <c r="F16" s="17"/>
      <c r="G16" s="41"/>
      <c r="H16" s="41"/>
      <c r="I16" s="41"/>
      <c r="J16" s="41"/>
      <c r="K16" s="41"/>
      <c r="N16" s="200" t="s">
        <v>32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16"/>
      <c r="Y16" s="200" t="s">
        <v>106</v>
      </c>
      <c r="Z16" s="201"/>
      <c r="AA16" s="201"/>
      <c r="AB16" s="216"/>
      <c r="AJ16" s="41"/>
      <c r="AK16" s="41"/>
    </row>
    <row r="17" spans="1:37" ht="17.5" x14ac:dyDescent="0.35">
      <c r="A17" s="41"/>
      <c r="B17" s="5" t="s">
        <v>112</v>
      </c>
      <c r="C17" s="82">
        <v>1</v>
      </c>
      <c r="D17" s="82">
        <v>650</v>
      </c>
      <c r="E17" s="17"/>
      <c r="F17" s="17"/>
      <c r="G17" s="41"/>
      <c r="H17" s="41"/>
      <c r="I17" s="41"/>
      <c r="J17" s="41"/>
      <c r="K17" s="41"/>
      <c r="N17" s="55" t="s">
        <v>6</v>
      </c>
      <c r="O17" s="51" t="s">
        <v>24</v>
      </c>
      <c r="P17" s="56" t="s">
        <v>25</v>
      </c>
      <c r="Q17" s="56" t="s">
        <v>26</v>
      </c>
      <c r="R17" s="56" t="s">
        <v>27</v>
      </c>
      <c r="S17" s="140" t="str">
        <f>P13&amp;" Min"</f>
        <v>xxx Min</v>
      </c>
      <c r="T17" s="48" t="s">
        <v>28</v>
      </c>
      <c r="U17" s="46" t="s">
        <v>29</v>
      </c>
      <c r="V17" s="46" t="s">
        <v>30</v>
      </c>
      <c r="W17" s="46" t="s">
        <v>31</v>
      </c>
      <c r="X17" s="143" t="s">
        <v>115</v>
      </c>
      <c r="Y17" s="144" t="s">
        <v>61</v>
      </c>
      <c r="Z17" s="129" t="s">
        <v>62</v>
      </c>
      <c r="AA17" s="129" t="s">
        <v>64</v>
      </c>
      <c r="AB17" s="139" t="s">
        <v>116</v>
      </c>
      <c r="AJ17" s="41"/>
      <c r="AK17" s="41"/>
    </row>
    <row r="18" spans="1:37" ht="17.5" x14ac:dyDescent="0.35">
      <c r="A18" s="41"/>
      <c r="B18" s="96" t="s">
        <v>0</v>
      </c>
      <c r="C18" s="82">
        <v>1</v>
      </c>
      <c r="D18" s="82">
        <v>725</v>
      </c>
      <c r="E18" s="41"/>
      <c r="F18" s="41"/>
      <c r="G18" s="41"/>
      <c r="H18" s="41"/>
      <c r="I18" s="41"/>
      <c r="J18" s="41"/>
      <c r="K18" s="41"/>
      <c r="N18" s="127" t="str">
        <f>B16</f>
        <v>Rice, lowland Paddy</v>
      </c>
      <c r="O18" s="58">
        <v>0</v>
      </c>
      <c r="P18" s="59">
        <v>0</v>
      </c>
      <c r="Q18" s="59">
        <v>0</v>
      </c>
      <c r="R18" s="59">
        <v>0</v>
      </c>
      <c r="S18" s="141">
        <v>0</v>
      </c>
      <c r="T18" s="181">
        <f>IF($G$26&lt;=0,0,326)</f>
        <v>326</v>
      </c>
      <c r="U18" s="182">
        <f>IF($G$27&lt;=0,0,150)</f>
        <v>150</v>
      </c>
      <c r="V18" s="182">
        <f t="shared" ref="V18:V21" si="2">IF($G$28&lt;=0,0,150)</f>
        <v>150</v>
      </c>
      <c r="W18" s="182">
        <f t="shared" ref="W18:W23" si="3">IF($G$29&lt;=0,0,100)</f>
        <v>100</v>
      </c>
      <c r="X18" s="183">
        <v>20</v>
      </c>
      <c r="Y18" s="172">
        <v>150</v>
      </c>
      <c r="Z18" s="173">
        <v>50</v>
      </c>
      <c r="AA18" s="173">
        <v>50</v>
      </c>
      <c r="AB18" s="174">
        <v>5</v>
      </c>
      <c r="AJ18" s="41"/>
      <c r="AK18" s="41"/>
    </row>
    <row r="19" spans="1:37" ht="17.5" x14ac:dyDescent="0.35">
      <c r="A19" s="41"/>
      <c r="B19" s="96" t="s">
        <v>113</v>
      </c>
      <c r="C19" s="82">
        <v>1</v>
      </c>
      <c r="D19" s="82">
        <v>500</v>
      </c>
      <c r="E19" s="17"/>
      <c r="F19" s="17"/>
      <c r="G19" s="41"/>
      <c r="H19" s="41"/>
      <c r="I19" s="41"/>
      <c r="J19" s="41"/>
      <c r="K19" s="41"/>
      <c r="N19" s="127" t="str">
        <f t="shared" ref="N19:N24" si="4">B17</f>
        <v xml:space="preserve">Maize </v>
      </c>
      <c r="O19" s="60">
        <v>0</v>
      </c>
      <c r="P19" s="61">
        <v>0</v>
      </c>
      <c r="Q19" s="61">
        <v>0</v>
      </c>
      <c r="R19" s="61">
        <v>0</v>
      </c>
      <c r="S19" s="142">
        <v>0</v>
      </c>
      <c r="T19" s="184">
        <f>IF($G$26&lt;=0,0,326)</f>
        <v>326</v>
      </c>
      <c r="U19" s="185">
        <f t="shared" ref="U19" si="5">IF($G$27&lt;=0,0,150)</f>
        <v>150</v>
      </c>
      <c r="V19" s="185">
        <f t="shared" si="2"/>
        <v>150</v>
      </c>
      <c r="W19" s="185">
        <f t="shared" si="3"/>
        <v>100</v>
      </c>
      <c r="X19" s="186">
        <v>20</v>
      </c>
      <c r="Y19" s="175">
        <v>150</v>
      </c>
      <c r="Z19" s="173">
        <v>50</v>
      </c>
      <c r="AA19" s="173">
        <v>50</v>
      </c>
      <c r="AB19" s="174">
        <v>5</v>
      </c>
      <c r="AJ19" s="41"/>
      <c r="AK19" s="41"/>
    </row>
    <row r="20" spans="1:37" ht="17.5" x14ac:dyDescent="0.35">
      <c r="A20" s="41"/>
      <c r="B20" s="126" t="s">
        <v>122</v>
      </c>
      <c r="C20" s="82">
        <v>1</v>
      </c>
      <c r="D20" s="82">
        <v>1200</v>
      </c>
      <c r="E20" s="17"/>
      <c r="F20" s="17"/>
      <c r="G20" s="41"/>
      <c r="H20" s="41"/>
      <c r="I20" s="41"/>
      <c r="J20" s="41"/>
      <c r="K20" s="41"/>
      <c r="N20" s="127" t="str">
        <f t="shared" si="4"/>
        <v>Sorghum</v>
      </c>
      <c r="O20" s="60">
        <v>0</v>
      </c>
      <c r="P20" s="61">
        <v>0</v>
      </c>
      <c r="Q20" s="61">
        <v>0</v>
      </c>
      <c r="R20" s="61">
        <v>0</v>
      </c>
      <c r="S20" s="142">
        <v>0</v>
      </c>
      <c r="T20" s="184">
        <f t="shared" ref="T20:T21" si="6">IF($G$26&lt;=0,0,260)</f>
        <v>260</v>
      </c>
      <c r="U20" s="185">
        <f>IF($G$27&lt;=0,0,150)</f>
        <v>150</v>
      </c>
      <c r="V20" s="185">
        <f t="shared" si="2"/>
        <v>150</v>
      </c>
      <c r="W20" s="185">
        <f t="shared" si="3"/>
        <v>100</v>
      </c>
      <c r="X20" s="186">
        <v>20</v>
      </c>
      <c r="Y20" s="175">
        <v>120</v>
      </c>
      <c r="Z20" s="173">
        <v>50</v>
      </c>
      <c r="AA20" s="173">
        <v>50</v>
      </c>
      <c r="AB20" s="174">
        <v>5</v>
      </c>
      <c r="AJ20" s="41"/>
      <c r="AK20" s="41"/>
    </row>
    <row r="21" spans="1:37" ht="17.5" x14ac:dyDescent="0.35">
      <c r="A21" s="41"/>
      <c r="B21" s="6" t="s">
        <v>123</v>
      </c>
      <c r="C21" s="82">
        <v>1</v>
      </c>
      <c r="D21" s="82">
        <v>780</v>
      </c>
      <c r="E21" s="17"/>
      <c r="F21" s="17"/>
      <c r="G21" s="41"/>
      <c r="H21" s="41"/>
      <c r="I21" s="41"/>
      <c r="J21" s="41"/>
      <c r="K21" s="41"/>
      <c r="N21" s="127" t="str">
        <f t="shared" si="4"/>
        <v>Sweet Potato</v>
      </c>
      <c r="O21" s="60">
        <v>0</v>
      </c>
      <c r="P21" s="61">
        <v>0</v>
      </c>
      <c r="Q21" s="61">
        <v>0</v>
      </c>
      <c r="R21" s="61">
        <v>0</v>
      </c>
      <c r="S21" s="142">
        <v>0</v>
      </c>
      <c r="T21" s="184">
        <f t="shared" si="6"/>
        <v>260</v>
      </c>
      <c r="U21" s="185">
        <f>IF($G$27&lt;=0,0,120)</f>
        <v>120</v>
      </c>
      <c r="V21" s="185">
        <f t="shared" si="2"/>
        <v>150</v>
      </c>
      <c r="W21" s="185">
        <f t="shared" si="3"/>
        <v>100</v>
      </c>
      <c r="X21" s="186">
        <v>20</v>
      </c>
      <c r="Y21" s="175">
        <v>120</v>
      </c>
      <c r="Z21" s="173">
        <v>50</v>
      </c>
      <c r="AA21" s="173">
        <v>50</v>
      </c>
      <c r="AB21" s="174">
        <v>5</v>
      </c>
      <c r="AJ21" s="41"/>
      <c r="AK21" s="41"/>
    </row>
    <row r="22" spans="1:37" ht="17.5" x14ac:dyDescent="0.35">
      <c r="A22" s="41"/>
      <c r="B22" s="180"/>
      <c r="C22" s="193">
        <v>0</v>
      </c>
      <c r="D22" s="193">
        <v>0</v>
      </c>
      <c r="E22" s="41"/>
      <c r="F22" s="41"/>
      <c r="G22" s="41"/>
      <c r="H22" s="41"/>
      <c r="I22" s="41"/>
      <c r="J22" s="41"/>
      <c r="K22" s="41"/>
      <c r="N22" s="127" t="str">
        <f t="shared" si="4"/>
        <v>Soybean</v>
      </c>
      <c r="O22" s="60">
        <v>0</v>
      </c>
      <c r="P22" s="61">
        <v>0</v>
      </c>
      <c r="Q22" s="61">
        <v>0</v>
      </c>
      <c r="R22" s="61">
        <v>0</v>
      </c>
      <c r="S22" s="142">
        <v>0</v>
      </c>
      <c r="T22" s="184">
        <f>IF($G$26&lt;=0,0,260)</f>
        <v>260</v>
      </c>
      <c r="U22" s="185">
        <f>IF($G$27&lt;=0,0,200)</f>
        <v>200</v>
      </c>
      <c r="V22" s="185">
        <f>IF($G$28&lt;=0,0,150)</f>
        <v>150</v>
      </c>
      <c r="W22" s="185">
        <f t="shared" si="3"/>
        <v>100</v>
      </c>
      <c r="X22" s="186">
        <v>20</v>
      </c>
      <c r="Y22" s="175">
        <v>120</v>
      </c>
      <c r="Z22" s="173">
        <v>50</v>
      </c>
      <c r="AA22" s="173">
        <v>50</v>
      </c>
      <c r="AB22" s="174">
        <v>5</v>
      </c>
      <c r="AJ22" s="41"/>
      <c r="AK22" s="41"/>
    </row>
    <row r="23" spans="1:37" ht="18" x14ac:dyDescent="0.4">
      <c r="A23" s="41"/>
      <c r="B23" s="99" t="s">
        <v>102</v>
      </c>
      <c r="C23" s="192">
        <f>SUM(C16:C22)</f>
        <v>6</v>
      </c>
      <c r="D23" s="98"/>
      <c r="E23" s="17"/>
      <c r="F23" s="17"/>
      <c r="G23" s="41"/>
      <c r="H23" s="41"/>
      <c r="I23" s="41"/>
      <c r="J23" s="41"/>
      <c r="K23" s="41"/>
      <c r="N23" s="127" t="str">
        <f t="shared" si="4"/>
        <v>Groundnut</v>
      </c>
      <c r="O23" s="60">
        <v>0</v>
      </c>
      <c r="P23" s="61">
        <v>0</v>
      </c>
      <c r="Q23" s="61">
        <v>0</v>
      </c>
      <c r="R23" s="61">
        <v>0</v>
      </c>
      <c r="S23" s="148">
        <v>0</v>
      </c>
      <c r="T23" s="185">
        <f t="shared" ref="T23" si="7">IF($G$26&lt;=0,0,100)</f>
        <v>100</v>
      </c>
      <c r="U23" s="185">
        <f>IF($G$27&lt;=0,0,200)</f>
        <v>200</v>
      </c>
      <c r="V23" s="185">
        <f>IF($G$28&lt;=0,0,150)</f>
        <v>150</v>
      </c>
      <c r="W23" s="185">
        <f t="shared" si="3"/>
        <v>100</v>
      </c>
      <c r="X23" s="186">
        <v>20</v>
      </c>
      <c r="Y23" s="176">
        <v>50</v>
      </c>
      <c r="Z23" s="177">
        <v>50</v>
      </c>
      <c r="AA23" s="173">
        <v>50</v>
      </c>
      <c r="AB23" s="174">
        <v>5</v>
      </c>
      <c r="AJ23" s="41"/>
      <c r="AK23" s="41"/>
    </row>
    <row r="24" spans="1:37" ht="18" x14ac:dyDescent="0.4">
      <c r="A24" s="41"/>
      <c r="B24" s="196" t="s">
        <v>7</v>
      </c>
      <c r="C24" s="197"/>
      <c r="D24" s="197"/>
      <c r="E24" s="197"/>
      <c r="F24" s="197"/>
      <c r="G24" s="198"/>
      <c r="H24" s="41"/>
      <c r="I24" s="41"/>
      <c r="J24" s="41"/>
      <c r="K24" s="41"/>
      <c r="N24" s="127">
        <f t="shared" si="4"/>
        <v>0</v>
      </c>
      <c r="O24" s="145">
        <v>0</v>
      </c>
      <c r="P24" s="147">
        <v>0</v>
      </c>
      <c r="Q24" s="147">
        <v>0</v>
      </c>
      <c r="R24" s="147">
        <v>0</v>
      </c>
      <c r="S24" s="146">
        <v>0</v>
      </c>
      <c r="T24" s="187">
        <f>IF($G$26&lt;=0,0,326)</f>
        <v>326</v>
      </c>
      <c r="U24" s="187">
        <f>IF($G$27&lt;=0,0,150)</f>
        <v>150</v>
      </c>
      <c r="V24" s="187">
        <f>IF($G$28&lt;=0,0,150)</f>
        <v>150</v>
      </c>
      <c r="W24" s="187">
        <f>IF($G$29&lt;=0,0,100)</f>
        <v>100</v>
      </c>
      <c r="X24" s="188">
        <v>20</v>
      </c>
      <c r="Y24" s="178">
        <v>150</v>
      </c>
      <c r="Z24" s="179">
        <v>50</v>
      </c>
      <c r="AA24" s="179">
        <v>50</v>
      </c>
      <c r="AB24" s="174">
        <v>5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70</v>
      </c>
      <c r="D25" s="20" t="s">
        <v>74</v>
      </c>
      <c r="E25" s="19" t="s">
        <v>75</v>
      </c>
      <c r="F25" s="121" t="s">
        <v>108</v>
      </c>
      <c r="G25" s="21" t="s">
        <v>104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2">
        <v>0</v>
      </c>
      <c r="G26" s="189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73</v>
      </c>
      <c r="C27" s="31">
        <v>0</v>
      </c>
      <c r="D27" s="31">
        <v>0.46</v>
      </c>
      <c r="E27" s="32">
        <v>0</v>
      </c>
      <c r="F27" s="123">
        <v>0</v>
      </c>
      <c r="G27" s="189">
        <v>65000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72</v>
      </c>
      <c r="C28" s="31">
        <v>0.18</v>
      </c>
      <c r="D28" s="31">
        <v>0.46</v>
      </c>
      <c r="E28" s="32">
        <v>0</v>
      </c>
      <c r="F28" s="123">
        <v>0</v>
      </c>
      <c r="G28" s="189">
        <v>75000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71</v>
      </c>
      <c r="C29" s="31">
        <v>0</v>
      </c>
      <c r="D29" s="31">
        <v>0</v>
      </c>
      <c r="E29" s="32">
        <v>0.6</v>
      </c>
      <c r="F29" s="123">
        <v>0</v>
      </c>
      <c r="G29" s="189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4" t="s">
        <v>85</v>
      </c>
      <c r="C30" s="125">
        <v>0</v>
      </c>
      <c r="D30" s="125" t="s">
        <v>92</v>
      </c>
      <c r="E30" s="125" t="s">
        <v>92</v>
      </c>
      <c r="F30" s="125">
        <v>0</v>
      </c>
      <c r="G30" s="190">
        <v>0</v>
      </c>
      <c r="H30" s="41"/>
      <c r="I30" s="41"/>
      <c r="J30" s="41"/>
      <c r="K30" s="41"/>
      <c r="L30" s="200" t="s">
        <v>34</v>
      </c>
      <c r="M30" s="201"/>
      <c r="N30" s="216"/>
      <c r="O30" s="223" t="s">
        <v>81</v>
      </c>
      <c r="P30" s="224"/>
      <c r="Q30" s="224"/>
      <c r="R30" s="224"/>
      <c r="S30" s="202"/>
      <c r="T30" s="217" t="s">
        <v>33</v>
      </c>
      <c r="U30" s="217"/>
      <c r="V30" s="217"/>
      <c r="W30" s="217"/>
      <c r="X30" s="217"/>
      <c r="Y30" s="217"/>
      <c r="Z30" s="217"/>
      <c r="AA30" s="217"/>
      <c r="AB30" s="217"/>
      <c r="AC30" s="217" t="s">
        <v>63</v>
      </c>
      <c r="AD30" s="217"/>
      <c r="AE30" s="217"/>
      <c r="AF30" s="217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2" t="s">
        <v>6</v>
      </c>
      <c r="M31" s="63" t="s">
        <v>23</v>
      </c>
      <c r="N31" s="48" t="s">
        <v>4</v>
      </c>
      <c r="O31" s="64" t="s">
        <v>58</v>
      </c>
      <c r="P31" s="65" t="s">
        <v>82</v>
      </c>
      <c r="Q31" s="65" t="s">
        <v>83</v>
      </c>
      <c r="R31" s="65" t="s">
        <v>84</v>
      </c>
      <c r="S31" s="65" t="str">
        <f>P13&amp;" kg"</f>
        <v>xxx kg</v>
      </c>
      <c r="T31" s="63" t="s">
        <v>37</v>
      </c>
      <c r="U31" s="63" t="s">
        <v>38</v>
      </c>
      <c r="V31" s="63" t="s">
        <v>39</v>
      </c>
      <c r="W31" s="63" t="s">
        <v>40</v>
      </c>
      <c r="X31" s="63" t="s">
        <v>41</v>
      </c>
      <c r="Y31" s="63" t="str">
        <f>P13&amp; " kg (N)"</f>
        <v>xxx kg (N)</v>
      </c>
      <c r="Z31" s="63" t="str">
        <f>P13&amp;" kg (P)"</f>
        <v>xxx kg (P)</v>
      </c>
      <c r="AA31" s="63" t="str">
        <f>P13&amp;" kg (K)"</f>
        <v>xxx kg (K)</v>
      </c>
      <c r="AB31" s="110" t="s">
        <v>117</v>
      </c>
      <c r="AC31" s="63" t="s">
        <v>61</v>
      </c>
      <c r="AD31" s="63" t="s">
        <v>62</v>
      </c>
      <c r="AE31" s="108" t="s">
        <v>64</v>
      </c>
      <c r="AF31" s="110" t="s">
        <v>118</v>
      </c>
      <c r="AG31" s="56"/>
      <c r="AH31" s="56"/>
      <c r="AI31" s="56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7" t="str">
        <f>B16</f>
        <v>Rice, lowland Paddy</v>
      </c>
      <c r="M32" s="48">
        <f>C16*0.404</f>
        <v>0.40400000000000003</v>
      </c>
      <c r="N32" s="45">
        <f t="shared" ref="N32:N37" si="8">IF(D16&lt;=0,0,D16)</f>
        <v>1000</v>
      </c>
      <c r="O32" s="66">
        <v>143.29038298792233</v>
      </c>
      <c r="P32" s="67">
        <v>0</v>
      </c>
      <c r="Q32" s="67">
        <v>0</v>
      </c>
      <c r="R32" s="67">
        <v>0</v>
      </c>
      <c r="S32" s="67">
        <v>0</v>
      </c>
      <c r="T32" s="68">
        <f t="shared" ref="T32:T38" si="9">IF(M32&lt;=0,0,O32*$Q$9)</f>
        <v>65.913576174444273</v>
      </c>
      <c r="U32" s="69">
        <f>IF(M32&lt;=0,0,P32*$R$10)</f>
        <v>0</v>
      </c>
      <c r="V32" s="69">
        <f>IF(M32&lt;=0,0,Q32*$Q$11)</f>
        <v>0</v>
      </c>
      <c r="W32" s="69">
        <f>IF(M32&lt;=0,0,Q32*$R$11)</f>
        <v>0</v>
      </c>
      <c r="X32" s="69">
        <f>IF(M32&lt;=0,0,R32*$S$12)</f>
        <v>0</v>
      </c>
      <c r="Y32" s="69">
        <f t="shared" ref="Y32:Y38" si="10">IF(OR(M32&lt;=0,$C$30=0,$C$30="%"),0,S32*$Q$13)</f>
        <v>0</v>
      </c>
      <c r="Z32" s="69">
        <f t="shared" ref="Z32:Z38" si="11">IF(OR(M32&lt;=0,$D$30=0,$D$30="%"),0,S32*$R$13)</f>
        <v>0</v>
      </c>
      <c r="AA32" s="69">
        <f t="shared" ref="AA32:AA38" si="12">IF(OR(M32&lt;=0,$E$30=0,$E$30="%"),0,S32*$S$13)</f>
        <v>0</v>
      </c>
      <c r="AB32" s="111">
        <f>IF(M32&lt;=0,0,S32*$T$13)</f>
        <v>0</v>
      </c>
      <c r="AC32" s="101">
        <f>T32+V32+Y32</f>
        <v>65.913576174444273</v>
      </c>
      <c r="AD32" s="101">
        <f>U32+W32+Z32</f>
        <v>0</v>
      </c>
      <c r="AE32" s="109">
        <f>X32+AA32</f>
        <v>0</v>
      </c>
      <c r="AF32" s="115">
        <f>AB32</f>
        <v>0</v>
      </c>
      <c r="AG32" s="70"/>
      <c r="AH32" s="70"/>
      <c r="AI32" s="70"/>
      <c r="AJ32" s="41"/>
      <c r="AK32" s="41"/>
    </row>
    <row r="33" spans="1:37" ht="19.5" customHeight="1" x14ac:dyDescent="0.4">
      <c r="A33" s="41"/>
      <c r="B33" s="196" t="s">
        <v>10</v>
      </c>
      <c r="C33" s="198"/>
      <c r="D33" s="41"/>
      <c r="E33" s="41"/>
      <c r="F33" s="41"/>
      <c r="G33" s="41"/>
      <c r="H33" s="41"/>
      <c r="I33" s="41"/>
      <c r="J33" s="41"/>
      <c r="K33" s="41"/>
      <c r="L33" s="127" t="str">
        <f t="shared" ref="L33:L38" si="13">B17</f>
        <v xml:space="preserve">Maize </v>
      </c>
      <c r="M33" s="48">
        <f t="shared" ref="M33:M37" si="14">C17*0.404</f>
        <v>0.40400000000000003</v>
      </c>
      <c r="N33" s="71">
        <f t="shared" si="8"/>
        <v>650</v>
      </c>
      <c r="O33" s="66">
        <v>78.966415253318047</v>
      </c>
      <c r="P33" s="67">
        <v>0</v>
      </c>
      <c r="Q33" s="67">
        <v>31.871988015698054</v>
      </c>
      <c r="R33" s="67">
        <v>19.645509073069686</v>
      </c>
      <c r="S33" s="67">
        <v>0</v>
      </c>
      <c r="T33" s="68">
        <f t="shared" si="9"/>
        <v>36.3245510165263</v>
      </c>
      <c r="U33" s="69">
        <f t="shared" ref="U33:U37" si="15">IF(M33&lt;=0,0,P33*$R$10)</f>
        <v>0</v>
      </c>
      <c r="V33" s="69">
        <f>IF(M33&lt;=0,0,Q33*$Q$11)</f>
        <v>5.7369578428256496</v>
      </c>
      <c r="W33" s="69">
        <f t="shared" ref="W33:W35" si="16">IF(M33&lt;=0,0,Q33*$R$11)</f>
        <v>6.4069070309156233</v>
      </c>
      <c r="X33" s="69">
        <f t="shared" ref="X33:X35" si="17">IF(M33&lt;=0,0,R33*$S$12)</f>
        <v>9.783463518388702</v>
      </c>
      <c r="Y33" s="69">
        <f t="shared" si="10"/>
        <v>0</v>
      </c>
      <c r="Z33" s="69">
        <f t="shared" si="11"/>
        <v>0</v>
      </c>
      <c r="AA33" s="69">
        <f t="shared" si="12"/>
        <v>0</v>
      </c>
      <c r="AB33" s="112">
        <f>IF(M33&lt;=0,0,S33*$T$13)</f>
        <v>0</v>
      </c>
      <c r="AC33" s="101">
        <f t="shared" ref="AC33:AC38" si="18">T33+V33+Y33</f>
        <v>42.061508859351946</v>
      </c>
      <c r="AD33" s="101">
        <f t="shared" ref="AD33:AD38" si="19">U33+W33+Z33</f>
        <v>6.4069070309156233</v>
      </c>
      <c r="AE33" s="109">
        <f t="shared" ref="AE33:AE38" si="20">X33+AA33</f>
        <v>9.783463518388702</v>
      </c>
      <c r="AF33" s="115">
        <f t="shared" ref="AF33:AF38" si="21">AB33</f>
        <v>0</v>
      </c>
      <c r="AG33" s="70"/>
      <c r="AH33" s="70"/>
      <c r="AI33" s="70"/>
      <c r="AJ33" s="41"/>
      <c r="AK33" s="41"/>
    </row>
    <row r="34" spans="1:37" ht="35" x14ac:dyDescent="0.35">
      <c r="A34" s="41"/>
      <c r="B34" s="9" t="s">
        <v>11</v>
      </c>
      <c r="C34" s="82">
        <v>300000</v>
      </c>
      <c r="D34" s="13"/>
      <c r="E34" s="17"/>
      <c r="F34" s="17"/>
      <c r="G34" s="41"/>
      <c r="H34" s="41"/>
      <c r="I34" s="41"/>
      <c r="J34" s="41"/>
      <c r="K34" s="41"/>
      <c r="L34" s="127" t="str">
        <f t="shared" si="13"/>
        <v>Sorghum</v>
      </c>
      <c r="M34" s="48">
        <f t="shared" si="14"/>
        <v>0.40400000000000003</v>
      </c>
      <c r="N34" s="92">
        <f t="shared" si="8"/>
        <v>725</v>
      </c>
      <c r="O34" s="72">
        <v>68.50692231690644</v>
      </c>
      <c r="P34" s="73">
        <v>0</v>
      </c>
      <c r="Q34" s="73">
        <v>4.4418213517939229</v>
      </c>
      <c r="R34" s="73">
        <v>33.860259837411064</v>
      </c>
      <c r="S34" s="73">
        <v>0</v>
      </c>
      <c r="T34" s="87">
        <f t="shared" si="9"/>
        <v>31.513184265776964</v>
      </c>
      <c r="U34" s="88">
        <f t="shared" si="15"/>
        <v>0</v>
      </c>
      <c r="V34" s="88">
        <f>IF(M34&lt;=0,0,Q34*$Q$11)</f>
        <v>0.79952784332290605</v>
      </c>
      <c r="W34" s="88">
        <f t="shared" si="16"/>
        <v>0.8928949281376144</v>
      </c>
      <c r="X34" s="88">
        <f t="shared" si="17"/>
        <v>16.862409399030707</v>
      </c>
      <c r="Y34" s="88">
        <f t="shared" si="10"/>
        <v>0</v>
      </c>
      <c r="Z34" s="88">
        <f t="shared" si="11"/>
        <v>0</v>
      </c>
      <c r="AA34" s="88">
        <f t="shared" si="12"/>
        <v>0</v>
      </c>
      <c r="AB34" s="112">
        <f>IF(M34&lt;=0,0,S34*$T$13)</f>
        <v>0</v>
      </c>
      <c r="AC34" s="101">
        <f t="shared" si="18"/>
        <v>32.31271210909987</v>
      </c>
      <c r="AD34" s="101">
        <f t="shared" si="19"/>
        <v>0.8928949281376144</v>
      </c>
      <c r="AE34" s="109">
        <f t="shared" si="20"/>
        <v>16.862409399030707</v>
      </c>
      <c r="AF34" s="115">
        <f t="shared" si="21"/>
        <v>0</v>
      </c>
      <c r="AG34" s="70"/>
      <c r="AH34" s="70"/>
      <c r="AI34" s="70"/>
      <c r="AJ34" s="41"/>
      <c r="AK34" s="41"/>
    </row>
    <row r="35" spans="1:37" ht="17.5" x14ac:dyDescent="0.35">
      <c r="A35" s="41"/>
      <c r="B35" s="206"/>
      <c r="C35" s="206"/>
      <c r="D35" s="33"/>
      <c r="E35" s="17"/>
      <c r="F35" s="17"/>
      <c r="G35" s="41"/>
      <c r="H35" s="41"/>
      <c r="I35" s="41"/>
      <c r="J35" s="41"/>
      <c r="K35" s="41"/>
      <c r="L35" s="127" t="str">
        <f t="shared" si="13"/>
        <v>Sweet Potato</v>
      </c>
      <c r="M35" s="48">
        <f t="shared" si="14"/>
        <v>0.40400000000000003</v>
      </c>
      <c r="N35" s="71">
        <f t="shared" si="8"/>
        <v>500</v>
      </c>
      <c r="O35" s="72">
        <v>98.707596798798008</v>
      </c>
      <c r="P35" s="73">
        <v>0</v>
      </c>
      <c r="Q35" s="73">
        <v>42.904230298016692</v>
      </c>
      <c r="R35" s="73">
        <v>0</v>
      </c>
      <c r="S35" s="67">
        <v>0</v>
      </c>
      <c r="T35" s="68">
        <f t="shared" si="9"/>
        <v>45.405494527447082</v>
      </c>
      <c r="U35" s="69">
        <f t="shared" si="15"/>
        <v>0</v>
      </c>
      <c r="V35" s="69">
        <f>IF(M35&lt;=0,0,Q35*$Q$11)</f>
        <v>7.7227614536430043</v>
      </c>
      <c r="W35" s="69">
        <f t="shared" si="16"/>
        <v>8.6246083745073161</v>
      </c>
      <c r="X35" s="69">
        <f t="shared" si="17"/>
        <v>0</v>
      </c>
      <c r="Y35" s="69">
        <f t="shared" si="10"/>
        <v>0</v>
      </c>
      <c r="Z35" s="69">
        <f t="shared" si="11"/>
        <v>0</v>
      </c>
      <c r="AA35" s="69">
        <f t="shared" si="12"/>
        <v>0</v>
      </c>
      <c r="AB35" s="112">
        <f>IF(M35&lt;=0,0,S35*$T$13)</f>
        <v>0</v>
      </c>
      <c r="AC35" s="101">
        <f t="shared" si="18"/>
        <v>53.128255981090085</v>
      </c>
      <c r="AD35" s="101">
        <f t="shared" si="19"/>
        <v>8.6246083745073161</v>
      </c>
      <c r="AE35" s="109">
        <f t="shared" si="20"/>
        <v>0</v>
      </c>
      <c r="AF35" s="115">
        <f t="shared" si="21"/>
        <v>0</v>
      </c>
      <c r="AG35" s="70"/>
      <c r="AH35" s="70"/>
      <c r="AI35" s="70"/>
      <c r="AJ35" s="41"/>
      <c r="AK35" s="41"/>
    </row>
    <row r="36" spans="1:37" ht="17.5" x14ac:dyDescent="0.35">
      <c r="A36" s="41"/>
      <c r="B36" s="13"/>
      <c r="C36" s="74"/>
      <c r="D36" s="14"/>
      <c r="E36" s="17"/>
      <c r="F36" s="17"/>
      <c r="G36" s="41"/>
      <c r="H36" s="41"/>
      <c r="I36" s="41"/>
      <c r="J36" s="41"/>
      <c r="K36" s="41"/>
      <c r="L36" s="127" t="str">
        <f t="shared" si="13"/>
        <v>Soybean</v>
      </c>
      <c r="M36" s="48">
        <f t="shared" si="14"/>
        <v>0.40400000000000003</v>
      </c>
      <c r="N36" s="71">
        <f t="shared" si="8"/>
        <v>1200</v>
      </c>
      <c r="O36" s="66">
        <v>0</v>
      </c>
      <c r="P36" s="67">
        <v>69.080798764909233</v>
      </c>
      <c r="Q36" s="67">
        <v>0</v>
      </c>
      <c r="R36" s="67">
        <v>11.957248610658583</v>
      </c>
      <c r="S36" s="67">
        <v>0</v>
      </c>
      <c r="T36" s="68">
        <f t="shared" si="9"/>
        <v>0</v>
      </c>
      <c r="U36" s="69">
        <f>IF(M36&lt;=0,0,P36*$R$10)</f>
        <v>13.886622167722054</v>
      </c>
      <c r="V36" s="69">
        <f>IF(M36&lt;=0,0,Q36*$Q$11)</f>
        <v>0</v>
      </c>
      <c r="W36" s="69">
        <f>IF(M36&lt;=0,0,Q36*$R$11)</f>
        <v>0</v>
      </c>
      <c r="X36" s="69">
        <f>IF(M36&lt;=0,0,R36*$S$12)</f>
        <v>5.9547098081079737</v>
      </c>
      <c r="Y36" s="69">
        <f t="shared" si="10"/>
        <v>0</v>
      </c>
      <c r="Z36" s="69">
        <f t="shared" si="11"/>
        <v>0</v>
      </c>
      <c r="AA36" s="69">
        <f t="shared" si="12"/>
        <v>0</v>
      </c>
      <c r="AB36" s="112">
        <f t="shared" ref="AB36:AB38" si="22">IF(M36&lt;=0,0,S36*$T$13)</f>
        <v>0</v>
      </c>
      <c r="AC36" s="101">
        <f t="shared" si="18"/>
        <v>0</v>
      </c>
      <c r="AD36" s="101">
        <f t="shared" si="19"/>
        <v>13.886622167722054</v>
      </c>
      <c r="AE36" s="109">
        <f t="shared" si="20"/>
        <v>5.9547098081079737</v>
      </c>
      <c r="AF36" s="115">
        <f t="shared" si="21"/>
        <v>0</v>
      </c>
      <c r="AG36" s="70"/>
      <c r="AH36" s="70"/>
      <c r="AI36" s="70"/>
      <c r="AJ36" s="41"/>
      <c r="AK36" s="41"/>
    </row>
    <row r="37" spans="1:37" ht="17.5" x14ac:dyDescent="0.35">
      <c r="A37" s="41"/>
      <c r="B37" s="74"/>
      <c r="C37" s="13"/>
      <c r="D37" s="13"/>
      <c r="E37" s="17"/>
      <c r="F37" s="17"/>
      <c r="G37" s="41"/>
      <c r="H37" s="41"/>
      <c r="I37" s="41"/>
      <c r="J37" s="41"/>
      <c r="K37" s="41"/>
      <c r="L37" s="127" t="str">
        <f t="shared" si="13"/>
        <v>Groundnut</v>
      </c>
      <c r="M37" s="48">
        <f t="shared" si="14"/>
        <v>0.40400000000000003</v>
      </c>
      <c r="N37" s="76">
        <f t="shared" si="8"/>
        <v>780</v>
      </c>
      <c r="O37" s="66">
        <v>0</v>
      </c>
      <c r="P37" s="67">
        <v>20.744684164855933</v>
      </c>
      <c r="Q37" s="67">
        <v>0</v>
      </c>
      <c r="R37" s="67">
        <v>0</v>
      </c>
      <c r="S37" s="67">
        <v>0</v>
      </c>
      <c r="T37" s="68">
        <f t="shared" si="9"/>
        <v>0</v>
      </c>
      <c r="U37" s="69">
        <f t="shared" si="15"/>
        <v>4.1700964108193395</v>
      </c>
      <c r="V37" s="69">
        <f t="shared" ref="V37" si="23">IF(M37&lt;=0,0,Q37*$Q$11)</f>
        <v>0</v>
      </c>
      <c r="W37" s="69">
        <f>IF(M37&lt;=0,0,Q37*$R$11)</f>
        <v>0</v>
      </c>
      <c r="X37" s="69">
        <f>IF(M37&lt;=0,0,R37*$S$12)</f>
        <v>0</v>
      </c>
      <c r="Y37" s="69">
        <f t="shared" si="10"/>
        <v>0</v>
      </c>
      <c r="Z37" s="69">
        <f t="shared" si="11"/>
        <v>0</v>
      </c>
      <c r="AA37" s="69">
        <f t="shared" si="12"/>
        <v>0</v>
      </c>
      <c r="AB37" s="113">
        <f t="shared" si="22"/>
        <v>0</v>
      </c>
      <c r="AC37" s="101">
        <f t="shared" si="18"/>
        <v>0</v>
      </c>
      <c r="AD37" s="101">
        <f t="shared" si="19"/>
        <v>4.1700964108193395</v>
      </c>
      <c r="AE37" s="109">
        <f t="shared" si="20"/>
        <v>0</v>
      </c>
      <c r="AF37" s="115">
        <f t="shared" si="21"/>
        <v>0</v>
      </c>
      <c r="AG37" s="70"/>
      <c r="AH37" s="70"/>
      <c r="AI37" s="70"/>
      <c r="AJ37" s="41"/>
      <c r="AK37" s="41"/>
    </row>
    <row r="38" spans="1:37" ht="17.5" x14ac:dyDescent="0.35">
      <c r="A38" s="41"/>
      <c r="B38" s="13"/>
      <c r="C38" s="13"/>
      <c r="D38" s="74"/>
      <c r="E38" s="17"/>
      <c r="F38" s="17"/>
      <c r="G38" s="41"/>
      <c r="H38" s="41"/>
      <c r="I38" s="41"/>
      <c r="J38" s="41"/>
      <c r="K38" s="41"/>
      <c r="L38" s="127">
        <f t="shared" si="13"/>
        <v>0</v>
      </c>
      <c r="M38" s="63">
        <f t="shared" ref="M38" si="24">C22</f>
        <v>0</v>
      </c>
      <c r="N38" s="63">
        <f>IF(D22&lt;=0,0,D22)</f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f t="shared" si="9"/>
        <v>0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0</v>
      </c>
      <c r="Y38" s="100">
        <f t="shared" si="10"/>
        <v>0</v>
      </c>
      <c r="Z38" s="100">
        <f t="shared" si="11"/>
        <v>0</v>
      </c>
      <c r="AA38" s="100">
        <f t="shared" si="12"/>
        <v>0</v>
      </c>
      <c r="AB38" s="111">
        <f t="shared" si="22"/>
        <v>0</v>
      </c>
      <c r="AC38" s="101">
        <f t="shared" si="18"/>
        <v>0</v>
      </c>
      <c r="AD38" s="101">
        <f t="shared" si="19"/>
        <v>0</v>
      </c>
      <c r="AE38" s="109">
        <f t="shared" si="20"/>
        <v>0</v>
      </c>
      <c r="AF38" s="115">
        <f t="shared" si="21"/>
        <v>0</v>
      </c>
      <c r="AG38" s="61"/>
      <c r="AH38" s="61"/>
      <c r="AI38" s="61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8" t="s">
        <v>35</v>
      </c>
      <c r="M39" s="62"/>
      <c r="N39" s="63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2"/>
      <c r="M40" s="62"/>
      <c r="N40" s="62" t="s">
        <v>103</v>
      </c>
      <c r="O40" s="100">
        <f>$M$32*O32+$M$33*O33+$M$34*O34+$M$35*O35+$M$36*O36+$M$37*O37+O38*$M$38</f>
        <v>157.34641221220573</v>
      </c>
      <c r="P40" s="100">
        <f t="shared" ref="P40:S40" si="25">$M$32*P32+$M$33*P33+$M$34*P34+$M$35*P35+$M$36*P36+$M$37*P37+P38*$M$38</f>
        <v>36.289495103625129</v>
      </c>
      <c r="Q40" s="100">
        <f>$M$32*Q32+$M$33*Q33+$M$34*Q34+$M$35*Q35+$M$36*Q36+$M$37*Q37+Q38*$M$38</f>
        <v>32.004088024865503</v>
      </c>
      <c r="R40" s="100">
        <f t="shared" si="25"/>
        <v>26.447059078540292</v>
      </c>
      <c r="S40" s="100">
        <f t="shared" si="25"/>
        <v>0</v>
      </c>
      <c r="AJ40" s="41"/>
      <c r="AK40" s="41"/>
    </row>
    <row r="41" spans="1:37" ht="18" x14ac:dyDescent="0.4">
      <c r="A41" s="41"/>
      <c r="B41" s="207" t="s">
        <v>69</v>
      </c>
      <c r="C41" s="208"/>
      <c r="D41" s="208"/>
      <c r="E41" s="208"/>
      <c r="F41" s="208"/>
      <c r="G41" s="208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14" t="s">
        <v>133</v>
      </c>
      <c r="D42" s="215"/>
      <c r="E42" s="215"/>
      <c r="F42" s="215"/>
      <c r="G42" s="215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6</v>
      </c>
      <c r="C43" s="35" t="s">
        <v>9</v>
      </c>
      <c r="D43" s="35" t="s">
        <v>12</v>
      </c>
      <c r="E43" s="35" t="s">
        <v>13</v>
      </c>
      <c r="F43" s="35" t="s">
        <v>14</v>
      </c>
      <c r="G43" s="35" t="str">
        <f>B30</f>
        <v>xxx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Rice, lowland Paddy</v>
      </c>
      <c r="C44" s="7">
        <f>O32*0.404</f>
        <v>57.889314727120627</v>
      </c>
      <c r="D44" s="7">
        <f t="shared" ref="D44:G50" si="26">P32*0.404</f>
        <v>0</v>
      </c>
      <c r="E44" s="7">
        <f t="shared" si="26"/>
        <v>0</v>
      </c>
      <c r="F44" s="7">
        <f t="shared" si="26"/>
        <v>0</v>
      </c>
      <c r="G44" s="7">
        <f t="shared" si="26"/>
        <v>0</v>
      </c>
      <c r="H44" s="41"/>
      <c r="I44" s="41"/>
      <c r="J44" s="41"/>
      <c r="K44" s="41"/>
      <c r="L44" s="42" t="s">
        <v>87</v>
      </c>
      <c r="N44" s="200" t="s">
        <v>49</v>
      </c>
      <c r="O44" s="201"/>
      <c r="P44" s="201"/>
      <c r="Q44" s="201"/>
      <c r="R44" s="201"/>
      <c r="S44" s="201"/>
      <c r="T44" s="201"/>
      <c r="U44" s="202"/>
      <c r="Y44" s="56"/>
      <c r="AJ44" s="41"/>
      <c r="AK44" s="41"/>
    </row>
    <row r="45" spans="1:37" ht="18" x14ac:dyDescent="0.35">
      <c r="A45" s="41"/>
      <c r="B45" s="36" t="str">
        <f t="shared" ref="B45:B50" si="27">B17</f>
        <v xml:space="preserve">Maize </v>
      </c>
      <c r="C45" s="7">
        <f t="shared" ref="C45:C50" si="28">O33*0.404</f>
        <v>31.902431762340495</v>
      </c>
      <c r="D45" s="7">
        <f t="shared" si="26"/>
        <v>0</v>
      </c>
      <c r="E45" s="7">
        <f t="shared" si="26"/>
        <v>12.876283158342014</v>
      </c>
      <c r="F45" s="7">
        <f t="shared" si="26"/>
        <v>7.9367856655201541</v>
      </c>
      <c r="G45" s="7">
        <f t="shared" si="26"/>
        <v>0</v>
      </c>
      <c r="H45" s="41"/>
      <c r="I45" s="41"/>
      <c r="J45" s="41"/>
      <c r="K45" s="41"/>
      <c r="N45" s="75" t="s">
        <v>6</v>
      </c>
      <c r="O45" s="51" t="s">
        <v>50</v>
      </c>
      <c r="P45" s="56" t="s">
        <v>51</v>
      </c>
      <c r="Q45" s="56" t="s">
        <v>52</v>
      </c>
      <c r="R45" s="56" t="s">
        <v>53</v>
      </c>
      <c r="S45" s="77" t="str">
        <f>P13</f>
        <v>xxx</v>
      </c>
      <c r="T45" s="51" t="s">
        <v>91</v>
      </c>
      <c r="U45" s="63" t="s">
        <v>10</v>
      </c>
      <c r="Y45" s="56"/>
      <c r="AJ45" s="41"/>
      <c r="AK45" s="41"/>
    </row>
    <row r="46" spans="1:37" ht="18" x14ac:dyDescent="0.35">
      <c r="A46" s="41"/>
      <c r="B46" s="36" t="str">
        <f t="shared" si="27"/>
        <v>Sorghum</v>
      </c>
      <c r="C46" s="7">
        <f t="shared" si="28"/>
        <v>27.676796616030202</v>
      </c>
      <c r="D46" s="7">
        <f t="shared" si="26"/>
        <v>0</v>
      </c>
      <c r="E46" s="7">
        <f t="shared" si="26"/>
        <v>1.794495826124745</v>
      </c>
      <c r="F46" s="7">
        <f t="shared" si="26"/>
        <v>13.679544974314071</v>
      </c>
      <c r="G46" s="7">
        <f t="shared" si="26"/>
        <v>0</v>
      </c>
      <c r="H46" s="41"/>
      <c r="I46" s="41"/>
      <c r="J46" s="41"/>
      <c r="K46" s="41"/>
      <c r="L46" s="56"/>
      <c r="N46" s="127" t="str">
        <f>B16</f>
        <v>Rice, lowland Paddy</v>
      </c>
      <c r="O46" s="58">
        <f>O32*$U$9</f>
        <v>157619.42128671455</v>
      </c>
      <c r="P46" s="59">
        <f>P32*$U$10</f>
        <v>0</v>
      </c>
      <c r="Q46" s="59">
        <f>Q32*$U$11</f>
        <v>0</v>
      </c>
      <c r="R46" s="59">
        <f>R32*$U$12</f>
        <v>0</v>
      </c>
      <c r="S46" s="59">
        <f>S32*$U$13</f>
        <v>0</v>
      </c>
      <c r="T46" s="89">
        <f>SUM(O46:S46)*M32</f>
        <v>63678.246199832683</v>
      </c>
      <c r="U46" s="209"/>
      <c r="Y46" s="56"/>
      <c r="AJ46" s="41"/>
      <c r="AK46" s="41"/>
    </row>
    <row r="47" spans="1:37" ht="15.75" customHeight="1" x14ac:dyDescent="0.35">
      <c r="A47" s="41"/>
      <c r="B47" s="36" t="str">
        <f t="shared" si="27"/>
        <v>Sweet Potato</v>
      </c>
      <c r="C47" s="7">
        <f t="shared" si="28"/>
        <v>39.8778691067144</v>
      </c>
      <c r="D47" s="7">
        <f t="shared" si="26"/>
        <v>0</v>
      </c>
      <c r="E47" s="7">
        <f t="shared" si="26"/>
        <v>17.333309040398746</v>
      </c>
      <c r="F47" s="7">
        <f t="shared" si="26"/>
        <v>0</v>
      </c>
      <c r="G47" s="7">
        <f t="shared" si="26"/>
        <v>0</v>
      </c>
      <c r="H47" s="41"/>
      <c r="I47" s="41"/>
      <c r="J47" s="41"/>
      <c r="K47" s="41"/>
      <c r="N47" s="127" t="str">
        <f t="shared" ref="N47:N52" si="29">B17</f>
        <v xml:space="preserve">Maize </v>
      </c>
      <c r="O47" s="58">
        <f t="shared" ref="O47:O52" si="30">O33*$U$9</f>
        <v>86863.056778649858</v>
      </c>
      <c r="P47" s="59">
        <f t="shared" ref="P47:P52" si="31">P33*$U$10</f>
        <v>0</v>
      </c>
      <c r="Q47" s="59">
        <f t="shared" ref="Q47:Q52" si="32">Q33*$U$11</f>
        <v>47807.982023547083</v>
      </c>
      <c r="R47" s="59">
        <f t="shared" ref="R47:R52" si="33">R33*$U$12</f>
        <v>23574.610887683622</v>
      </c>
      <c r="S47" s="59">
        <f t="shared" ref="S47:S52" si="34">S33*$U$13</f>
        <v>0</v>
      </c>
      <c r="T47" s="90">
        <f>SUM(O47:S47)*M33</f>
        <v>63931.242474711747</v>
      </c>
      <c r="U47" s="210"/>
      <c r="AJ47" s="41"/>
      <c r="AK47" s="41"/>
    </row>
    <row r="48" spans="1:37" ht="18" x14ac:dyDescent="0.35">
      <c r="A48" s="41"/>
      <c r="B48" s="36" t="str">
        <f t="shared" si="27"/>
        <v>Soybean</v>
      </c>
      <c r="C48" s="7">
        <f t="shared" si="28"/>
        <v>0</v>
      </c>
      <c r="D48" s="7">
        <f t="shared" si="26"/>
        <v>27.908642701023332</v>
      </c>
      <c r="E48" s="7">
        <f t="shared" si="26"/>
        <v>0</v>
      </c>
      <c r="F48" s="7">
        <f t="shared" si="26"/>
        <v>4.8307284387060676</v>
      </c>
      <c r="G48" s="7">
        <f t="shared" si="26"/>
        <v>0</v>
      </c>
      <c r="H48" s="41"/>
      <c r="I48" s="41"/>
      <c r="J48" s="41"/>
      <c r="K48" s="41"/>
      <c r="N48" s="127" t="str">
        <f t="shared" si="29"/>
        <v>Sorghum</v>
      </c>
      <c r="O48" s="58">
        <f t="shared" si="30"/>
        <v>75357.614548597077</v>
      </c>
      <c r="P48" s="59">
        <f t="shared" si="31"/>
        <v>0</v>
      </c>
      <c r="Q48" s="59">
        <f t="shared" si="32"/>
        <v>6662.732027690884</v>
      </c>
      <c r="R48" s="59">
        <f t="shared" si="33"/>
        <v>40632.311804893274</v>
      </c>
      <c r="S48" s="59">
        <f t="shared" si="34"/>
        <v>0</v>
      </c>
      <c r="T48" s="90">
        <f>SUM(O48:S48)*M34</f>
        <v>49551.673985997229</v>
      </c>
      <c r="U48" s="210"/>
      <c r="AJ48" s="41"/>
      <c r="AK48" s="41"/>
    </row>
    <row r="49" spans="1:37" ht="18" x14ac:dyDescent="0.35">
      <c r="A49" s="41"/>
      <c r="B49" s="36" t="str">
        <f t="shared" si="27"/>
        <v>Groundnut</v>
      </c>
      <c r="C49" s="7">
        <f t="shared" si="28"/>
        <v>0</v>
      </c>
      <c r="D49" s="7">
        <f t="shared" si="26"/>
        <v>8.3808524026017981</v>
      </c>
      <c r="E49" s="7">
        <f t="shared" si="26"/>
        <v>0</v>
      </c>
      <c r="F49" s="7">
        <f t="shared" si="26"/>
        <v>0</v>
      </c>
      <c r="G49" s="7">
        <f t="shared" si="26"/>
        <v>0</v>
      </c>
      <c r="H49" s="41"/>
      <c r="I49" s="41"/>
      <c r="J49" s="41"/>
      <c r="K49" s="41"/>
      <c r="N49" s="127" t="str">
        <f t="shared" si="29"/>
        <v>Sweet Potato</v>
      </c>
      <c r="O49" s="58">
        <f t="shared" si="30"/>
        <v>108578.35647867782</v>
      </c>
      <c r="P49" s="59">
        <f t="shared" si="31"/>
        <v>0</v>
      </c>
      <c r="Q49" s="59">
        <f t="shared" si="32"/>
        <v>64356.345447025036</v>
      </c>
      <c r="R49" s="59">
        <f t="shared" si="33"/>
        <v>0</v>
      </c>
      <c r="S49" s="59">
        <f t="shared" si="34"/>
        <v>0</v>
      </c>
      <c r="T49" s="90">
        <f>SUM(O49:S49)*M35</f>
        <v>69865.619577983962</v>
      </c>
      <c r="U49" s="210"/>
      <c r="AJ49" s="41"/>
      <c r="AK49" s="41"/>
    </row>
    <row r="50" spans="1:37" ht="18" x14ac:dyDescent="0.35">
      <c r="A50" s="41"/>
      <c r="B50" s="36">
        <f t="shared" si="27"/>
        <v>0</v>
      </c>
      <c r="C50" s="7">
        <f t="shared" si="28"/>
        <v>0</v>
      </c>
      <c r="D50" s="7">
        <f t="shared" si="26"/>
        <v>0</v>
      </c>
      <c r="E50" s="7">
        <f t="shared" si="26"/>
        <v>0</v>
      </c>
      <c r="F50" s="7">
        <f t="shared" si="26"/>
        <v>0</v>
      </c>
      <c r="G50" s="7">
        <f t="shared" si="26"/>
        <v>0</v>
      </c>
      <c r="H50" s="41"/>
      <c r="I50" s="41"/>
      <c r="J50" s="41"/>
      <c r="K50" s="41"/>
      <c r="N50" s="127" t="str">
        <f t="shared" si="29"/>
        <v>Soybean</v>
      </c>
      <c r="O50" s="58">
        <f t="shared" si="30"/>
        <v>0</v>
      </c>
      <c r="P50" s="59">
        <f t="shared" si="31"/>
        <v>89805.038394382005</v>
      </c>
      <c r="Q50" s="59">
        <f t="shared" si="32"/>
        <v>0</v>
      </c>
      <c r="R50" s="59">
        <f t="shared" si="33"/>
        <v>14348.6983327903</v>
      </c>
      <c r="S50" s="59">
        <f t="shared" si="34"/>
        <v>0</v>
      </c>
      <c r="T50" s="90">
        <f t="shared" ref="T50" si="35">SUM(O50:S50)*M36</f>
        <v>42078.109637777612</v>
      </c>
      <c r="U50" s="210"/>
      <c r="W50" s="199"/>
      <c r="X50" s="199"/>
      <c r="AJ50" s="41"/>
      <c r="AK50" s="41"/>
    </row>
    <row r="51" spans="1:37" ht="18" x14ac:dyDescent="0.4">
      <c r="A51" s="41"/>
      <c r="B51" s="34" t="s">
        <v>96</v>
      </c>
      <c r="C51" s="171">
        <f>O40</f>
        <v>157.34641221220573</v>
      </c>
      <c r="D51" s="171">
        <f t="shared" ref="D51:G51" si="36">P40</f>
        <v>36.289495103625129</v>
      </c>
      <c r="E51" s="171">
        <f t="shared" si="36"/>
        <v>32.004088024865503</v>
      </c>
      <c r="F51" s="171">
        <f t="shared" si="36"/>
        <v>26.447059078540292</v>
      </c>
      <c r="G51" s="171">
        <f t="shared" si="36"/>
        <v>0</v>
      </c>
      <c r="H51" s="15"/>
      <c r="I51" s="41"/>
      <c r="J51" s="41"/>
      <c r="K51" s="41"/>
      <c r="N51" s="127" t="str">
        <f t="shared" si="29"/>
        <v>Groundnut</v>
      </c>
      <c r="O51" s="58">
        <f t="shared" si="30"/>
        <v>0</v>
      </c>
      <c r="P51" s="59">
        <f t="shared" si="31"/>
        <v>26968.089414312712</v>
      </c>
      <c r="Q51" s="59">
        <f t="shared" si="32"/>
        <v>0</v>
      </c>
      <c r="R51" s="59">
        <f t="shared" si="33"/>
        <v>0</v>
      </c>
      <c r="S51" s="59">
        <f t="shared" si="34"/>
        <v>0</v>
      </c>
      <c r="T51" s="91">
        <f>SUM(O51:S51)*M37</f>
        <v>10895.108123382337</v>
      </c>
      <c r="U51" s="210"/>
      <c r="W51" s="56"/>
      <c r="X51" s="56"/>
      <c r="AJ51" s="41"/>
      <c r="AK51" s="41"/>
    </row>
    <row r="52" spans="1:37" ht="18" x14ac:dyDescent="0.4">
      <c r="A52" s="41"/>
      <c r="B52" s="207" t="s">
        <v>134</v>
      </c>
      <c r="C52" s="212"/>
      <c r="D52" s="213"/>
      <c r="E52" s="41"/>
      <c r="F52" s="41"/>
      <c r="G52" s="41"/>
      <c r="H52" s="15"/>
      <c r="I52" s="41"/>
      <c r="J52" s="41"/>
      <c r="K52" s="41"/>
      <c r="N52" s="127">
        <f t="shared" si="29"/>
        <v>0</v>
      </c>
      <c r="O52" s="58">
        <f t="shared" si="30"/>
        <v>0</v>
      </c>
      <c r="P52" s="59">
        <f t="shared" si="31"/>
        <v>0</v>
      </c>
      <c r="Q52" s="59">
        <f t="shared" si="32"/>
        <v>0</v>
      </c>
      <c r="R52" s="59">
        <f t="shared" si="33"/>
        <v>0</v>
      </c>
      <c r="S52" s="59">
        <f t="shared" si="34"/>
        <v>0</v>
      </c>
      <c r="T52" s="91">
        <f>SUM(O52:S52)*M38</f>
        <v>0</v>
      </c>
      <c r="U52" s="211"/>
      <c r="W52" s="56"/>
      <c r="X52" s="56"/>
      <c r="Z52" s="56"/>
      <c r="AA52" s="56"/>
      <c r="AJ52" s="41"/>
      <c r="AK52" s="41"/>
    </row>
    <row r="53" spans="1:37" ht="36" customHeight="1" x14ac:dyDescent="0.3">
      <c r="A53" s="41"/>
      <c r="B53" s="36" t="s">
        <v>6</v>
      </c>
      <c r="C53" s="39" t="s">
        <v>65</v>
      </c>
      <c r="D53" s="40" t="s">
        <v>44</v>
      </c>
      <c r="E53" s="41"/>
      <c r="F53" s="41"/>
      <c r="G53" s="41"/>
      <c r="H53" s="16"/>
      <c r="I53" s="41"/>
      <c r="J53" s="41"/>
      <c r="K53" s="41"/>
      <c r="L53" s="95"/>
      <c r="M53" s="95"/>
      <c r="N53" s="104" t="s">
        <v>102</v>
      </c>
      <c r="O53" s="102">
        <f>SUM(O46:O52)</f>
        <v>428418.44909263932</v>
      </c>
      <c r="P53" s="102">
        <f t="shared" ref="P53:S53" si="37">SUM(P46:P52)</f>
        <v>116773.12780869471</v>
      </c>
      <c r="Q53" s="102">
        <f t="shared" si="37"/>
        <v>118827.059498263</v>
      </c>
      <c r="R53" s="102">
        <f t="shared" si="37"/>
        <v>78555.621025367203</v>
      </c>
      <c r="S53" s="102">
        <f t="shared" si="37"/>
        <v>0</v>
      </c>
      <c r="T53" s="105">
        <f>T52+T51+T50+T49+T48+T47+T46</f>
        <v>299999.99999968556</v>
      </c>
      <c r="U53" s="62">
        <f>C34</f>
        <v>300000</v>
      </c>
      <c r="Y53" s="56"/>
      <c r="AJ53" s="41"/>
      <c r="AK53" s="41"/>
    </row>
    <row r="54" spans="1:37" ht="18" x14ac:dyDescent="0.35">
      <c r="A54" s="41"/>
      <c r="B54" s="36" t="str">
        <f>B16</f>
        <v>Rice, lowland Paddy</v>
      </c>
      <c r="C54" s="8">
        <f>W60*0.404</f>
        <v>963.89260669980149</v>
      </c>
      <c r="D54" s="8">
        <f>X60*0.404</f>
        <v>900214.36049996875</v>
      </c>
      <c r="E54" s="41"/>
      <c r="F54" s="41"/>
      <c r="G54" s="41"/>
      <c r="H54" s="78"/>
      <c r="I54" s="41"/>
      <c r="J54" s="41"/>
      <c r="K54" s="41"/>
      <c r="L54" s="95"/>
      <c r="M54" s="95"/>
      <c r="N54" s="95"/>
      <c r="Y54" s="79"/>
      <c r="AJ54" s="41"/>
      <c r="AK54" s="41"/>
    </row>
    <row r="55" spans="1:37" ht="18" x14ac:dyDescent="0.35">
      <c r="A55" s="41"/>
      <c r="B55" s="36" t="str">
        <f t="shared" ref="B55:B60" si="38">B17</f>
        <v xml:space="preserve">Maize </v>
      </c>
      <c r="C55" s="8">
        <f>W64*0.404</f>
        <v>944.67991928678225</v>
      </c>
      <c r="D55" s="8">
        <f>X64*0.404</f>
        <v>550110.7050616967</v>
      </c>
      <c r="E55" s="41"/>
      <c r="F55" s="41"/>
      <c r="G55" s="41"/>
      <c r="H55" s="78"/>
      <c r="I55" s="41"/>
      <c r="J55" s="41"/>
      <c r="K55" s="41"/>
      <c r="L55" s="95"/>
      <c r="M55" s="95"/>
      <c r="N55" s="95"/>
      <c r="Y55" s="79"/>
      <c r="AJ55" s="41"/>
      <c r="AK55" s="41"/>
    </row>
    <row r="56" spans="1:37" ht="18" x14ac:dyDescent="0.35">
      <c r="A56" s="41"/>
      <c r="B56" s="36" t="str">
        <f t="shared" si="38"/>
        <v>Sorghum</v>
      </c>
      <c r="C56" s="8">
        <f>W68*0.404</f>
        <v>1085.0287540869551</v>
      </c>
      <c r="D56" s="8">
        <f>X68*0.404</f>
        <v>737094.17272704525</v>
      </c>
      <c r="E56" s="41"/>
      <c r="F56" s="41"/>
      <c r="G56" s="41"/>
      <c r="H56" s="78"/>
      <c r="I56" s="41"/>
      <c r="J56" s="41"/>
      <c r="K56" s="41"/>
      <c r="L56" s="95"/>
      <c r="M56" s="95"/>
      <c r="Y56" s="79"/>
      <c r="AJ56" s="41"/>
      <c r="AK56" s="41"/>
    </row>
    <row r="57" spans="1:37" ht="18" x14ac:dyDescent="0.35">
      <c r="A57" s="41"/>
      <c r="B57" s="36" t="str">
        <f t="shared" si="38"/>
        <v>Sweet Potato</v>
      </c>
      <c r="C57" s="8">
        <f>W72*0.404</f>
        <v>3220.9652183701173</v>
      </c>
      <c r="D57" s="8">
        <f>X72*0.404</f>
        <v>1540616.9896070748</v>
      </c>
      <c r="E57" s="41"/>
      <c r="F57" s="41"/>
      <c r="G57" s="41"/>
      <c r="H57" s="78"/>
      <c r="I57" s="41"/>
      <c r="J57" s="41"/>
      <c r="K57" s="41"/>
      <c r="Y57" s="79"/>
      <c r="AJ57" s="41"/>
      <c r="AK57" s="41"/>
    </row>
    <row r="58" spans="1:37" ht="18" x14ac:dyDescent="0.35">
      <c r="A58" s="41"/>
      <c r="B58" s="36" t="str">
        <f t="shared" si="38"/>
        <v>Soybean</v>
      </c>
      <c r="C58" s="8">
        <f>W76*0.404</f>
        <v>700.57235327744638</v>
      </c>
      <c r="D58" s="8">
        <f>X76*0.404</f>
        <v>798608.71429515816</v>
      </c>
      <c r="E58" s="41"/>
      <c r="F58" s="41"/>
      <c r="G58" s="41"/>
      <c r="H58" s="78"/>
      <c r="I58" s="41"/>
      <c r="J58" s="41"/>
      <c r="K58" s="41"/>
      <c r="L58" s="200" t="s">
        <v>48</v>
      </c>
      <c r="M58" s="201"/>
      <c r="N58" s="201"/>
      <c r="O58" s="201"/>
      <c r="P58" s="201"/>
      <c r="Q58" s="201"/>
      <c r="R58" s="216"/>
      <c r="S58" s="200" t="s">
        <v>46</v>
      </c>
      <c r="T58" s="201"/>
      <c r="U58" s="201"/>
      <c r="V58" s="201"/>
      <c r="W58" s="200" t="s">
        <v>97</v>
      </c>
      <c r="X58" s="216"/>
      <c r="AJ58" s="41"/>
      <c r="AK58" s="41"/>
    </row>
    <row r="59" spans="1:37" ht="18" x14ac:dyDescent="0.35">
      <c r="A59" s="41"/>
      <c r="B59" s="36" t="str">
        <f t="shared" si="38"/>
        <v>Groundnut</v>
      </c>
      <c r="C59" s="120">
        <f>W80*0.404</f>
        <v>113.24451176248969</v>
      </c>
      <c r="D59" s="120">
        <f>X80*0.404</f>
        <v>77435.611051359636</v>
      </c>
      <c r="E59" s="41"/>
      <c r="F59" s="41"/>
      <c r="G59" s="41"/>
      <c r="H59" s="78"/>
      <c r="I59" s="41"/>
      <c r="J59" s="41"/>
      <c r="K59" s="41"/>
      <c r="L59" s="62" t="s">
        <v>1</v>
      </c>
      <c r="M59" s="63" t="s">
        <v>99</v>
      </c>
      <c r="N59" s="63" t="s">
        <v>100</v>
      </c>
      <c r="O59" s="63" t="s">
        <v>101</v>
      </c>
      <c r="P59" s="62" t="s">
        <v>45</v>
      </c>
      <c r="Q59" s="63" t="s">
        <v>59</v>
      </c>
      <c r="R59" s="63" t="s">
        <v>47</v>
      </c>
      <c r="S59" s="63" t="s">
        <v>42</v>
      </c>
      <c r="T59" s="63" t="s">
        <v>43</v>
      </c>
      <c r="U59" s="63" t="s">
        <v>3</v>
      </c>
      <c r="V59" s="63" t="s">
        <v>2</v>
      </c>
      <c r="W59" s="63" t="s">
        <v>65</v>
      </c>
      <c r="X59" s="63" t="s">
        <v>44</v>
      </c>
      <c r="AJ59" s="41"/>
      <c r="AK59" s="41"/>
    </row>
    <row r="60" spans="1:37" ht="18" x14ac:dyDescent="0.35">
      <c r="A60" s="41"/>
      <c r="B60" s="36">
        <f t="shared" si="38"/>
        <v>0</v>
      </c>
      <c r="C60" s="120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6" t="s">
        <v>105</v>
      </c>
      <c r="M60" s="117">
        <v>5.6459999999999999</v>
      </c>
      <c r="N60" s="117">
        <v>2.8959999999999999</v>
      </c>
      <c r="O60" s="117">
        <v>0.97399999999999998</v>
      </c>
      <c r="P60" s="63">
        <f>M60-N60</f>
        <v>2.75</v>
      </c>
      <c r="Q60" s="100">
        <f>IFERROR((M60-N60*POWER(O60,AC32)-(P60)),0)</f>
        <v>2.3858727888608948</v>
      </c>
      <c r="R60" s="100">
        <f>Q60*1000</f>
        <v>2385.8727888608946</v>
      </c>
      <c r="S60" s="106">
        <f>R60*N32*M32</f>
        <v>963892.60669980152</v>
      </c>
      <c r="T60" s="119">
        <f>S60+S61+S62+S63</f>
        <v>963892.60669980152</v>
      </c>
      <c r="U60" s="119">
        <f>T46</f>
        <v>63678.246199832683</v>
      </c>
      <c r="V60" s="119">
        <f>T60-U60</f>
        <v>900214.36049996887</v>
      </c>
      <c r="W60" s="105">
        <f>R60+R61+R62+R63</f>
        <v>2385.8727888608946</v>
      </c>
      <c r="X60" s="149">
        <f>IF(OR(M32=0,M32=1),$V$60,IF(M32&lt;1,$V$60/M32,IF(M32&gt;1,$V$60/M32,0)))</f>
        <v>2228253.36757418</v>
      </c>
      <c r="AJ60" s="41"/>
      <c r="AK60" s="41"/>
    </row>
    <row r="61" spans="1:37" ht="18" x14ac:dyDescent="0.4">
      <c r="A61" s="41"/>
      <c r="B61" s="207" t="s">
        <v>94</v>
      </c>
      <c r="C61" s="219"/>
      <c r="D61" s="220"/>
      <c r="E61" s="41"/>
      <c r="F61" s="41"/>
      <c r="G61" s="41"/>
      <c r="H61" s="41"/>
      <c r="I61" s="41"/>
      <c r="J61" s="41"/>
      <c r="K61" s="41"/>
      <c r="L61" s="116"/>
      <c r="M61" s="117"/>
      <c r="N61" s="117"/>
      <c r="O61" s="117"/>
      <c r="P61" s="63">
        <f t="shared" ref="P61" si="39">M61-N61</f>
        <v>0</v>
      </c>
      <c r="Q61" s="100">
        <f>IFERROR(((M61-N61*POWER(O61,AD32)-(P61))),0)</f>
        <v>0</v>
      </c>
      <c r="R61" s="100">
        <f t="shared" ref="R61" si="40">Q61*1000</f>
        <v>0</v>
      </c>
      <c r="S61" s="106">
        <f>R61*N32*M32</f>
        <v>0</v>
      </c>
      <c r="T61" s="119"/>
      <c r="U61" s="119"/>
      <c r="V61" s="119"/>
      <c r="W61" s="105"/>
      <c r="X61" s="62"/>
      <c r="AJ61" s="41"/>
      <c r="AK61" s="41"/>
    </row>
    <row r="62" spans="1:37" ht="35" x14ac:dyDescent="0.35">
      <c r="A62" s="41"/>
      <c r="B62" s="10" t="s">
        <v>93</v>
      </c>
      <c r="C62" s="221">
        <f>V98</f>
        <v>4604080.5532423025</v>
      </c>
      <c r="D62" s="222"/>
      <c r="E62" s="41"/>
      <c r="F62" s="41"/>
      <c r="G62" s="41"/>
      <c r="H62" s="41"/>
      <c r="I62" s="41"/>
      <c r="J62" s="41"/>
      <c r="K62" s="41"/>
      <c r="L62" s="167"/>
      <c r="M62" s="191"/>
      <c r="N62" s="191"/>
      <c r="O62" s="191"/>
      <c r="P62" s="150">
        <f t="shared" ref="P62" si="41">M62-N62</f>
        <v>0</v>
      </c>
      <c r="Q62" s="151">
        <f>IFERROR(((M62-N62*POWER(O62,AE32)-(P62))),0)</f>
        <v>0</v>
      </c>
      <c r="R62" s="151">
        <f t="shared" ref="R62" si="42">Q62*1000</f>
        <v>0</v>
      </c>
      <c r="S62" s="152">
        <f>R62*N32*M32</f>
        <v>0</v>
      </c>
      <c r="T62" s="153"/>
      <c r="U62" s="153"/>
      <c r="V62" s="153"/>
      <c r="W62" s="163"/>
      <c r="X62" s="150"/>
      <c r="AJ62" s="41"/>
      <c r="AK62" s="41"/>
    </row>
    <row r="63" spans="1:37" x14ac:dyDescent="0.3">
      <c r="A63" s="41"/>
      <c r="B63" s="81"/>
      <c r="C63" s="81"/>
      <c r="D63" s="81"/>
      <c r="E63" s="81"/>
      <c r="F63" s="81"/>
      <c r="G63" s="11"/>
      <c r="H63" s="15"/>
      <c r="I63" s="41"/>
      <c r="J63" s="41"/>
      <c r="K63" s="41"/>
      <c r="L63" s="116"/>
      <c r="M63" s="117"/>
      <c r="N63" s="117"/>
      <c r="O63" s="117"/>
      <c r="P63" s="150">
        <f t="shared" ref="P63" si="43">M63-N63</f>
        <v>0</v>
      </c>
      <c r="Q63" s="100">
        <f>IFERROR((M63-N63*POWER(O63,AF32)-(P63)),0)</f>
        <v>0</v>
      </c>
      <c r="R63" s="151">
        <f t="shared" ref="R63" si="44">Q63*1000</f>
        <v>0</v>
      </c>
      <c r="S63" s="152">
        <f>R63*N32*M32</f>
        <v>0</v>
      </c>
      <c r="T63" s="153"/>
      <c r="U63" s="153"/>
      <c r="V63" s="153"/>
      <c r="W63" s="105"/>
      <c r="X63" s="149"/>
      <c r="AJ63" s="41"/>
      <c r="AK63" s="41"/>
    </row>
    <row r="64" spans="1:37" x14ac:dyDescent="0.3">
      <c r="A64" s="41"/>
      <c r="B64" s="81"/>
      <c r="C64" s="81"/>
      <c r="D64" s="81"/>
      <c r="E64" s="81"/>
      <c r="F64" s="81"/>
      <c r="G64" s="16"/>
      <c r="H64" s="15"/>
      <c r="I64" s="41"/>
      <c r="J64" s="41"/>
      <c r="K64" s="41"/>
      <c r="L64" s="116" t="s">
        <v>119</v>
      </c>
      <c r="M64" s="117">
        <v>4.6180000000000003</v>
      </c>
      <c r="N64" s="117">
        <v>2.3690000000000002</v>
      </c>
      <c r="O64" s="117">
        <v>0.97799999999999998</v>
      </c>
      <c r="P64" s="63">
        <f t="shared" ref="P64:P67" si="45">M64-N64</f>
        <v>2.2490000000000001</v>
      </c>
      <c r="Q64" s="100">
        <f>IFERROR((M64-N64*POWER(O64,AC33)-(P64)),0)</f>
        <v>1.4395998980554658</v>
      </c>
      <c r="R64" s="100">
        <f>Q64*1000</f>
        <v>1439.5998980554659</v>
      </c>
      <c r="S64" s="106">
        <f>R64*$N$33*$M$33</f>
        <v>378038.93322936539</v>
      </c>
      <c r="T64" s="119">
        <f>S64+S65+S66+S67</f>
        <v>614041.94753640844</v>
      </c>
      <c r="U64" s="119">
        <f>T47</f>
        <v>63931.242474711747</v>
      </c>
      <c r="V64" s="119">
        <f>T64-U64</f>
        <v>550110.7050616967</v>
      </c>
      <c r="W64" s="105">
        <f>R64+R65+R66+R67</f>
        <v>2338.3166318979756</v>
      </c>
      <c r="X64" s="62">
        <f>IF(OR(M33=0,M33=1),$V$64,IF(M33&lt;1,$V$64/M33,IF(M33&gt;1,$V$64/M33,0)))</f>
        <v>1361660.1610438037</v>
      </c>
      <c r="AJ64" s="41"/>
      <c r="AK64" s="41"/>
    </row>
    <row r="65" spans="1:37" x14ac:dyDescent="0.3">
      <c r="A65" s="41"/>
      <c r="B65" s="81"/>
      <c r="C65" s="81"/>
      <c r="D65" s="81"/>
      <c r="E65" s="81"/>
      <c r="F65" s="81"/>
      <c r="G65" s="80"/>
      <c r="H65" s="16"/>
      <c r="I65" s="41"/>
      <c r="J65" s="41"/>
      <c r="K65" s="41"/>
      <c r="L65" s="116" t="s">
        <v>124</v>
      </c>
      <c r="M65" s="117">
        <v>5.0999999999999996</v>
      </c>
      <c r="N65" s="117">
        <v>0.80500000000000005</v>
      </c>
      <c r="O65" s="117">
        <v>0.84099999999999997</v>
      </c>
      <c r="P65" s="63">
        <f t="shared" si="45"/>
        <v>4.2949999999999999</v>
      </c>
      <c r="Q65" s="151">
        <f>IFERROR(((M65-N65*POWER(O65,AD33)-(P65))),0)</f>
        <v>0.53955728112459234</v>
      </c>
      <c r="R65" s="100">
        <f t="shared" ref="R65:R67" si="46">Q65*1000</f>
        <v>539.55728112459235</v>
      </c>
      <c r="S65" s="106">
        <f t="shared" ref="S65:S67" si="47">R65*$N$33*$M$33</f>
        <v>141687.74202331796</v>
      </c>
      <c r="T65" s="119"/>
      <c r="U65" s="119"/>
      <c r="V65" s="119"/>
      <c r="W65" s="105"/>
      <c r="X65" s="62"/>
      <c r="AJ65" s="41"/>
      <c r="AK65" s="41"/>
    </row>
    <row r="66" spans="1:37" x14ac:dyDescent="0.3">
      <c r="A66" s="41"/>
      <c r="B66" s="81"/>
      <c r="C66" s="81"/>
      <c r="D66" s="81"/>
      <c r="E66" s="81"/>
      <c r="F66" s="81"/>
      <c r="G66" s="80"/>
      <c r="H66" s="81"/>
      <c r="I66" s="41"/>
      <c r="J66" s="41"/>
      <c r="K66" s="41"/>
      <c r="L66" s="116" t="s">
        <v>125</v>
      </c>
      <c r="M66" s="117">
        <v>4.9000000000000004</v>
      </c>
      <c r="N66" s="117">
        <v>0.55500000000000005</v>
      </c>
      <c r="O66" s="117">
        <v>0.89900000000000002</v>
      </c>
      <c r="P66" s="63">
        <f t="shared" si="45"/>
        <v>4.3450000000000006</v>
      </c>
      <c r="Q66" s="100">
        <f>IFERROR(((M66-N66*POWER(O66,AE33)-(P66))),0)</f>
        <v>0.35915945271791738</v>
      </c>
      <c r="R66" s="100">
        <f t="shared" si="46"/>
        <v>359.15945271791736</v>
      </c>
      <c r="S66" s="106">
        <f t="shared" si="47"/>
        <v>94315.272283725106</v>
      </c>
      <c r="T66" s="119"/>
      <c r="U66" s="119"/>
      <c r="V66" s="119"/>
      <c r="W66" s="105"/>
      <c r="X66" s="149"/>
      <c r="AJ66" s="41"/>
      <c r="AK66" s="41"/>
    </row>
    <row r="67" spans="1:37" x14ac:dyDescent="0.3">
      <c r="A67" s="41"/>
      <c r="B67" s="81"/>
      <c r="C67" s="81"/>
      <c r="D67" s="81"/>
      <c r="E67" s="81"/>
      <c r="F67" s="81"/>
      <c r="G67" s="80"/>
      <c r="H67" s="81"/>
      <c r="I67" s="41"/>
      <c r="J67" s="41"/>
      <c r="K67" s="41"/>
      <c r="L67" s="116"/>
      <c r="M67" s="117"/>
      <c r="N67" s="117"/>
      <c r="O67" s="117"/>
      <c r="P67" s="150">
        <f t="shared" si="45"/>
        <v>0</v>
      </c>
      <c r="Q67" s="100">
        <f>IFERROR((M67-N67*POWER(O67,AF33)-(P67)),0)</f>
        <v>0</v>
      </c>
      <c r="R67" s="100">
        <f t="shared" si="46"/>
        <v>0</v>
      </c>
      <c r="S67" s="106">
        <f t="shared" si="47"/>
        <v>0</v>
      </c>
      <c r="T67" s="119"/>
      <c r="U67" s="119"/>
      <c r="V67" s="119"/>
      <c r="W67" s="105"/>
      <c r="X67" s="62"/>
      <c r="AJ67" s="41"/>
      <c r="AK67" s="41"/>
    </row>
    <row r="68" spans="1:37" x14ac:dyDescent="0.3">
      <c r="A68" s="41"/>
      <c r="B68" s="81"/>
      <c r="C68" s="81"/>
      <c r="D68" s="81"/>
      <c r="E68" s="81"/>
      <c r="F68" s="81"/>
      <c r="G68" s="80"/>
      <c r="H68" s="81"/>
      <c r="I68" s="41"/>
      <c r="J68" s="41"/>
      <c r="K68" s="41"/>
      <c r="L68" s="167" t="s">
        <v>120</v>
      </c>
      <c r="M68" s="191">
        <v>2.2890000000000001</v>
      </c>
      <c r="N68" s="191">
        <v>1.6339999999999999</v>
      </c>
      <c r="O68" s="191">
        <v>0.97199999999999998</v>
      </c>
      <c r="P68" s="150">
        <f t="shared" ref="P68:P71" si="48">M68-N68</f>
        <v>0.65500000000000025</v>
      </c>
      <c r="Q68" s="151">
        <f>IFERROR((M68-N68*POWER(O68,AC34)-(P68)),0)</f>
        <v>0.98129698092301121</v>
      </c>
      <c r="R68" s="100">
        <f t="shared" ref="R68:R71" si="49">Q68*1000</f>
        <v>981.29698092301123</v>
      </c>
      <c r="S68" s="106">
        <f>R68*$N$34*$M$34</f>
        <v>287421.88571235002</v>
      </c>
      <c r="T68" s="119">
        <f>S68+S69+S70+S71</f>
        <v>786645.84671304247</v>
      </c>
      <c r="U68" s="119">
        <f>T48</f>
        <v>49551.673985997229</v>
      </c>
      <c r="V68" s="119">
        <f>T68-U68</f>
        <v>737094.17272704525</v>
      </c>
      <c r="W68" s="105">
        <f>R68+R69+R70+R71</f>
        <v>2685.7147378389977</v>
      </c>
      <c r="X68" s="62">
        <f>IF(OR(M34=0,M34=1),$V$68,IF(M34&lt;1,$V$68/M34,IF(M34&gt;1,$V$68/M34,0)))</f>
        <v>1824490.5265520921</v>
      </c>
      <c r="AJ68" s="41"/>
      <c r="AK68" s="41"/>
    </row>
    <row r="69" spans="1:37" ht="46.5" customHeight="1" x14ac:dyDescent="0.35">
      <c r="A69" s="41"/>
      <c r="B69" s="218" t="s">
        <v>109</v>
      </c>
      <c r="C69" s="218"/>
      <c r="D69" s="218"/>
      <c r="E69" s="218"/>
      <c r="F69" s="218"/>
      <c r="G69" s="218"/>
      <c r="H69" s="218"/>
      <c r="I69" s="218"/>
      <c r="J69" s="27"/>
      <c r="K69" s="27"/>
      <c r="L69" s="167" t="s">
        <v>126</v>
      </c>
      <c r="M69" s="117">
        <v>2.2919999999999998</v>
      </c>
      <c r="N69" s="117">
        <v>0.32600000000000001</v>
      </c>
      <c r="O69" s="117">
        <v>0.86599999999999999</v>
      </c>
      <c r="P69" s="150">
        <f t="shared" si="48"/>
        <v>1.9659999999999997</v>
      </c>
      <c r="Q69" s="151">
        <f>IFERROR(((M69-N69*POWER(O69,AD34)-(P69))),0)</f>
        <v>3.9300033136683066E-2</v>
      </c>
      <c r="R69" s="151">
        <f t="shared" si="49"/>
        <v>39.300033136683069</v>
      </c>
      <c r="S69" s="106">
        <f t="shared" ref="S69:S71" si="50">R69*$N$34*$M$34</f>
        <v>11510.979705734471</v>
      </c>
      <c r="T69" s="153"/>
      <c r="U69" s="153"/>
      <c r="V69" s="153"/>
      <c r="W69" s="163"/>
      <c r="X69" s="164"/>
      <c r="AJ69" s="27"/>
      <c r="AK69" s="27"/>
    </row>
    <row r="70" spans="1:37" ht="17.25" customHeight="1" x14ac:dyDescent="0.3">
      <c r="A70" s="41"/>
      <c r="B70" s="81"/>
      <c r="C70" s="81"/>
      <c r="D70" s="81"/>
      <c r="E70" s="81"/>
      <c r="F70" s="81"/>
      <c r="G70" s="80"/>
      <c r="H70" s="81"/>
      <c r="I70" s="41"/>
      <c r="J70" s="41"/>
      <c r="K70" s="41"/>
      <c r="L70" s="167" t="s">
        <v>127</v>
      </c>
      <c r="M70" s="117">
        <v>2.4089999999999998</v>
      </c>
      <c r="N70" s="117">
        <v>1.78</v>
      </c>
      <c r="O70" s="117">
        <v>0.85</v>
      </c>
      <c r="P70" s="150">
        <f t="shared" si="48"/>
        <v>0.62899999999999978</v>
      </c>
      <c r="Q70" s="151">
        <f>IFERROR(((M70-N70*POWER(O70,AE34)-(P70))),0)</f>
        <v>1.6651177237793033</v>
      </c>
      <c r="R70" s="151">
        <f t="shared" si="49"/>
        <v>1665.1177237793033</v>
      </c>
      <c r="S70" s="106">
        <f t="shared" si="50"/>
        <v>487712.98129495798</v>
      </c>
      <c r="T70" s="153"/>
      <c r="U70" s="153"/>
      <c r="V70" s="153"/>
      <c r="W70" s="163"/>
      <c r="X70" s="164"/>
      <c r="AJ70" s="41"/>
      <c r="AK70" s="41"/>
    </row>
    <row r="71" spans="1:37" ht="30" customHeight="1" x14ac:dyDescent="0.35">
      <c r="A71" s="41"/>
      <c r="B71" s="218" t="s">
        <v>110</v>
      </c>
      <c r="C71" s="218"/>
      <c r="D71" s="218"/>
      <c r="E71" s="218"/>
      <c r="F71" s="218"/>
      <c r="G71" s="218"/>
      <c r="H71" s="218"/>
      <c r="I71" s="218"/>
      <c r="J71" s="27"/>
      <c r="K71" s="27"/>
      <c r="L71" s="167"/>
      <c r="M71" s="117"/>
      <c r="N71" s="117"/>
      <c r="O71" s="117"/>
      <c r="P71" s="150">
        <f t="shared" si="48"/>
        <v>0</v>
      </c>
      <c r="Q71" s="151">
        <f>IFERROR((M71-N71*POWER(O71,AF34)-(P71)),0)</f>
        <v>0</v>
      </c>
      <c r="R71" s="151">
        <f t="shared" si="49"/>
        <v>0</v>
      </c>
      <c r="S71" s="106">
        <f t="shared" si="50"/>
        <v>0</v>
      </c>
      <c r="T71" s="153"/>
      <c r="U71" s="153"/>
      <c r="V71" s="153"/>
      <c r="W71" s="163"/>
      <c r="X71" s="150"/>
      <c r="AJ71" s="27"/>
      <c r="AK71" s="27"/>
    </row>
    <row r="72" spans="1:37" x14ac:dyDescent="0.3">
      <c r="A72" s="41"/>
      <c r="B72" s="81"/>
      <c r="C72" s="81"/>
      <c r="D72" s="81"/>
      <c r="E72" s="81"/>
      <c r="F72" s="81"/>
      <c r="G72" s="41"/>
      <c r="H72" s="41"/>
      <c r="I72" s="41"/>
      <c r="J72" s="41"/>
      <c r="K72" s="41"/>
      <c r="L72" s="116" t="s">
        <v>121</v>
      </c>
      <c r="M72" s="117">
        <v>18.699000000000002</v>
      </c>
      <c r="N72" s="117">
        <v>7.72</v>
      </c>
      <c r="O72" s="117">
        <v>0.95099999999999996</v>
      </c>
      <c r="P72" s="150">
        <f t="shared" ref="P72:P73" si="51">M72-N72</f>
        <v>10.979000000000003</v>
      </c>
      <c r="Q72" s="151">
        <f>IFERROR((M72-N72*POWER(O72,AC35)-(P72)),0)</f>
        <v>7.184960040176307</v>
      </c>
      <c r="R72" s="151">
        <f t="shared" ref="R72:R74" si="52">Q72*1000</f>
        <v>7184.9600401763073</v>
      </c>
      <c r="S72" s="152">
        <f>R72*$N$35*$M$35</f>
        <v>1451361.928115614</v>
      </c>
      <c r="T72" s="153">
        <f>S72+S73+S74+S75</f>
        <v>1610482.6091850586</v>
      </c>
      <c r="U72" s="153">
        <f>T49</f>
        <v>69865.619577983962</v>
      </c>
      <c r="V72" s="153">
        <f>T72-U72</f>
        <v>1540616.9896070748</v>
      </c>
      <c r="W72" s="105">
        <f>R72+R73+R74+R75</f>
        <v>7972.6861840844485</v>
      </c>
      <c r="X72" s="149">
        <f>IF(OR(M35=0,M35=1),$V$72,IF(M35&lt;1,$V$72/M35,IF(M35&gt;1,$V$72/M35,0)))</f>
        <v>3813408.3901165216</v>
      </c>
      <c r="AJ72" s="41"/>
      <c r="AK72" s="41"/>
    </row>
    <row r="73" spans="1:37" ht="47.25" customHeight="1" x14ac:dyDescent="0.35">
      <c r="A73" s="41"/>
      <c r="B73" s="218" t="s">
        <v>111</v>
      </c>
      <c r="C73" s="218"/>
      <c r="D73" s="218"/>
      <c r="E73" s="218"/>
      <c r="F73" s="218"/>
      <c r="G73" s="218"/>
      <c r="H73" s="218"/>
      <c r="I73" s="218"/>
      <c r="J73" s="27"/>
      <c r="K73" s="27"/>
      <c r="L73" s="116" t="s">
        <v>128</v>
      </c>
      <c r="M73" s="117">
        <v>13.032999999999999</v>
      </c>
      <c r="N73" s="117">
        <v>1.4370000000000001</v>
      </c>
      <c r="O73" s="117">
        <v>0.91200000000000003</v>
      </c>
      <c r="P73" s="150">
        <f t="shared" si="51"/>
        <v>11.596</v>
      </c>
      <c r="Q73" s="151">
        <f>IFERROR(((M73-N73*POWER(O73,AD35)-(P73))),0)</f>
        <v>0.78772614390814155</v>
      </c>
      <c r="R73" s="151">
        <f t="shared" si="52"/>
        <v>787.72614390814158</v>
      </c>
      <c r="S73" s="152">
        <f t="shared" ref="S73:S75" si="53">R73*$N$35*$M$35</f>
        <v>159120.6810694446</v>
      </c>
      <c r="T73" s="153"/>
      <c r="U73" s="153"/>
      <c r="V73" s="153"/>
      <c r="W73" s="163"/>
      <c r="X73" s="164"/>
      <c r="AJ73" s="27"/>
      <c r="AK73" s="27"/>
    </row>
    <row r="74" spans="1:37" ht="18" customHeight="1" x14ac:dyDescent="0.3">
      <c r="A74" s="41"/>
      <c r="B74" s="81"/>
      <c r="C74" s="81"/>
      <c r="D74" s="81"/>
      <c r="E74" s="81"/>
      <c r="F74" s="81"/>
      <c r="G74" s="80"/>
      <c r="H74" s="41"/>
      <c r="I74" s="41"/>
      <c r="J74" s="41"/>
      <c r="K74" s="41"/>
      <c r="L74" s="116"/>
      <c r="M74" s="117"/>
      <c r="N74" s="117"/>
      <c r="O74" s="117"/>
      <c r="P74" s="63">
        <f t="shared" ref="P74:P80" si="54">M74-N74</f>
        <v>0</v>
      </c>
      <c r="Q74" s="100">
        <f>IFERROR(((M74-N74*POWER(O74,AE35)-(P74))),0)</f>
        <v>0</v>
      </c>
      <c r="R74" s="100">
        <f t="shared" si="52"/>
        <v>0</v>
      </c>
      <c r="S74" s="152">
        <f t="shared" si="53"/>
        <v>0</v>
      </c>
      <c r="T74" s="63"/>
      <c r="U74" s="63"/>
      <c r="V74" s="63"/>
      <c r="W74" s="105"/>
      <c r="X74" s="149"/>
      <c r="AJ74" s="41"/>
      <c r="AK74" s="41"/>
    </row>
    <row r="75" spans="1:37" ht="15.75" customHeight="1" x14ac:dyDescent="0.3">
      <c r="A75" s="41"/>
      <c r="B75" s="218" t="s">
        <v>98</v>
      </c>
      <c r="C75" s="218"/>
      <c r="D75" s="218"/>
      <c r="E75" s="218"/>
      <c r="F75" s="218"/>
      <c r="G75" s="218"/>
      <c r="H75" s="218"/>
      <c r="I75" s="218"/>
      <c r="J75" s="41"/>
      <c r="K75" s="41"/>
      <c r="L75" s="116"/>
      <c r="M75" s="117"/>
      <c r="N75" s="117"/>
      <c r="O75" s="117"/>
      <c r="P75" s="63">
        <f t="shared" si="54"/>
        <v>0</v>
      </c>
      <c r="Q75" s="100">
        <f>IFERROR((M75-N75*POWER(O75,AF35)-(P75)),0)</f>
        <v>0</v>
      </c>
      <c r="R75" s="100">
        <f>Q75*1000</f>
        <v>0</v>
      </c>
      <c r="S75" s="152">
        <f t="shared" si="53"/>
        <v>0</v>
      </c>
      <c r="T75" s="119"/>
      <c r="U75" s="119"/>
      <c r="V75" s="119"/>
      <c r="W75" s="105"/>
      <c r="X75" s="149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16"/>
      <c r="M76" s="117"/>
      <c r="N76" s="117"/>
      <c r="O76" s="117"/>
      <c r="P76" s="155">
        <f t="shared" si="54"/>
        <v>0</v>
      </c>
      <c r="Q76" s="156">
        <f>IFERROR((M76-N76*POWER(O76,AC36)-(P76)),0)</f>
        <v>0</v>
      </c>
      <c r="R76" s="156">
        <f>Q76*1000</f>
        <v>0</v>
      </c>
      <c r="S76" s="157">
        <f>R76*$N$36*$M$36</f>
        <v>0</v>
      </c>
      <c r="T76" s="158">
        <f>S76+S77+S78+S79</f>
        <v>840686.82393293572</v>
      </c>
      <c r="U76" s="158">
        <f>T50</f>
        <v>42078.109637777612</v>
      </c>
      <c r="V76" s="158">
        <f>T76-U76</f>
        <v>798608.71429515816</v>
      </c>
      <c r="W76" s="159">
        <f>R76+R77+R78+R79</f>
        <v>1734.0899833600158</v>
      </c>
      <c r="X76" s="160">
        <f>IF(OR(M36=0,M36=1),$V$76,IF(M36&lt;1,$V$76/M36,IF(M36&gt;1,$V$76/M36,0)))</f>
        <v>1976754.2433048468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16" t="s">
        <v>130</v>
      </c>
      <c r="M77" s="117">
        <v>2.5329999999999999</v>
      </c>
      <c r="N77" s="117">
        <v>1.78</v>
      </c>
      <c r="O77" s="117">
        <v>0.85</v>
      </c>
      <c r="P77" s="108">
        <f t="shared" si="54"/>
        <v>0.75299999999999989</v>
      </c>
      <c r="Q77" s="161">
        <f>IFERROR(((M77-N77*POWER(O77,AD36)-(P77))),0)</f>
        <v>1.5936680660693006</v>
      </c>
      <c r="R77" s="161">
        <f t="shared" ref="R77:R79" si="55">Q77*1000</f>
        <v>1593.6680660693005</v>
      </c>
      <c r="S77" s="157">
        <f t="shared" ref="S77:S79" si="56">R77*$N$36*$M$36</f>
        <v>772610.27843039692</v>
      </c>
      <c r="T77" s="108"/>
      <c r="U77" s="154"/>
      <c r="V77" s="154"/>
      <c r="W77" s="162"/>
      <c r="X77" s="108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16" t="s">
        <v>129</v>
      </c>
      <c r="M78" s="117">
        <v>2.6789999999999998</v>
      </c>
      <c r="N78" s="117">
        <v>0.191</v>
      </c>
      <c r="O78" s="117">
        <v>0.8</v>
      </c>
      <c r="P78" s="108">
        <f t="shared" si="54"/>
        <v>2.488</v>
      </c>
      <c r="Q78" s="108">
        <f>IFERROR(((M78-N78*POWER(O78,AE36)-(P78))),0)</f>
        <v>0.14042191729071529</v>
      </c>
      <c r="R78" s="161">
        <f t="shared" si="55"/>
        <v>140.4219172907153</v>
      </c>
      <c r="S78" s="157">
        <f t="shared" si="56"/>
        <v>68076.545502538778</v>
      </c>
      <c r="T78" s="108"/>
      <c r="U78" s="162"/>
      <c r="V78" s="162"/>
      <c r="W78" s="161"/>
      <c r="X78" s="108"/>
      <c r="AJ78" s="41"/>
      <c r="AK78" s="41"/>
    </row>
    <row r="79" spans="1:37" ht="21.75" customHeight="1" x14ac:dyDescent="0.3">
      <c r="L79" s="116"/>
      <c r="M79" s="117"/>
      <c r="N79" s="117"/>
      <c r="O79" s="117"/>
      <c r="P79" s="108">
        <f t="shared" si="54"/>
        <v>0</v>
      </c>
      <c r="Q79" s="108">
        <f>IFERROR((M79-N79*POWER(O79,AF36)-(P79)),0)</f>
        <v>0</v>
      </c>
      <c r="R79" s="161">
        <f t="shared" si="55"/>
        <v>0</v>
      </c>
      <c r="S79" s="157">
        <f t="shared" si="56"/>
        <v>0</v>
      </c>
      <c r="T79" s="108"/>
      <c r="U79" s="108"/>
      <c r="V79" s="108"/>
      <c r="W79" s="108"/>
      <c r="X79" s="108"/>
    </row>
    <row r="80" spans="1:37" x14ac:dyDescent="0.3">
      <c r="L80" s="116"/>
      <c r="M80" s="117"/>
      <c r="N80" s="117"/>
      <c r="O80" s="117"/>
      <c r="P80" s="108">
        <f t="shared" si="54"/>
        <v>0</v>
      </c>
      <c r="Q80" s="108">
        <f>IFERROR((M80-N80*POWER(O80,AC37)-(P80)),0)</f>
        <v>0</v>
      </c>
      <c r="R80" s="161">
        <f t="shared" ref="R80:R82" si="57">Q80*1000</f>
        <v>0</v>
      </c>
      <c r="S80" s="108">
        <f>R80*$N$37*$M$37</f>
        <v>0</v>
      </c>
      <c r="T80" s="108">
        <f>S80+S81+S82+S83</f>
        <v>88330.719174741971</v>
      </c>
      <c r="U80" s="162">
        <f>T51</f>
        <v>10895.108123382337</v>
      </c>
      <c r="V80" s="108">
        <f>T80-U80</f>
        <v>77435.611051359636</v>
      </c>
      <c r="W80" s="161">
        <f>R80+R81+R82+R83</f>
        <v>280.30819743190517</v>
      </c>
      <c r="X80" s="108">
        <f>IF(OR(M37=0,M37=1),$V$80,IF(M37&lt;1,$V$80/M37,IF(M37&gt;1,$V$80/M37,0)))</f>
        <v>191672.30458257336</v>
      </c>
    </row>
    <row r="81" spans="9:24" x14ac:dyDescent="0.3">
      <c r="L81" s="116" t="s">
        <v>131</v>
      </c>
      <c r="M81" s="117">
        <v>1.036</v>
      </c>
      <c r="N81" s="117">
        <v>0.56100000000000005</v>
      </c>
      <c r="O81" s="117">
        <v>0.84699999999999998</v>
      </c>
      <c r="P81" s="154">
        <f t="shared" ref="P81" si="58">M81-N81</f>
        <v>0.47499999999999998</v>
      </c>
      <c r="Q81" s="154">
        <f>IFERROR(((M81-N81*POWER(O81,AD37)-(P81))),0)</f>
        <v>0.28030819743190516</v>
      </c>
      <c r="R81" s="154">
        <f t="shared" si="57"/>
        <v>280.30819743190517</v>
      </c>
      <c r="S81" s="108">
        <f t="shared" ref="S81:S83" si="59">R81*$N$37*$M$37</f>
        <v>88330.719174741971</v>
      </c>
      <c r="T81" s="154"/>
      <c r="U81" s="154"/>
      <c r="V81" s="154"/>
      <c r="W81" s="154"/>
      <c r="X81" s="154"/>
    </row>
    <row r="82" spans="9:24" x14ac:dyDescent="0.3">
      <c r="L82" s="167" t="s">
        <v>132</v>
      </c>
      <c r="M82" s="118">
        <v>1.0900000000000001</v>
      </c>
      <c r="N82" s="118">
        <v>5.8999999999999997E-2</v>
      </c>
      <c r="O82" s="118">
        <v>0.86</v>
      </c>
      <c r="P82" s="108">
        <f>M82-N82</f>
        <v>1.0310000000000001</v>
      </c>
      <c r="Q82" s="108">
        <f>IFERROR(((M82-N82*POWER(O82,AE37)-(P82))),0)</f>
        <v>0</v>
      </c>
      <c r="R82" s="161">
        <f t="shared" si="57"/>
        <v>0</v>
      </c>
      <c r="S82" s="108">
        <f t="shared" si="59"/>
        <v>0</v>
      </c>
      <c r="T82" s="165"/>
      <c r="U82" s="165"/>
      <c r="V82" s="165"/>
      <c r="W82" s="162"/>
      <c r="X82" s="162"/>
    </row>
    <row r="83" spans="9:24" ht="15.5" x14ac:dyDescent="0.3">
      <c r="L83" s="169"/>
      <c r="M83" s="170"/>
      <c r="N83" s="170"/>
      <c r="O83" s="170"/>
      <c r="P83" s="108">
        <f>M83-N83</f>
        <v>0</v>
      </c>
      <c r="Q83" s="154">
        <f>IFERROR(((M83-N83*POWER(O83,AF37)-(P83))),0)</f>
        <v>0</v>
      </c>
      <c r="R83" s="161">
        <f>Q83*1000</f>
        <v>0</v>
      </c>
      <c r="S83" s="108">
        <f t="shared" si="59"/>
        <v>0</v>
      </c>
      <c r="T83" s="165"/>
      <c r="U83" s="165"/>
      <c r="V83" s="165"/>
      <c r="W83" s="162"/>
      <c r="X83" s="162"/>
    </row>
    <row r="84" spans="9:24" ht="15.5" x14ac:dyDescent="0.3">
      <c r="L84" s="168"/>
      <c r="M84" s="170"/>
      <c r="N84" s="170"/>
      <c r="O84" s="170"/>
      <c r="P84" s="108">
        <f>M84-N84</f>
        <v>0</v>
      </c>
      <c r="Q84" s="154">
        <f>IFERROR(((M84-N84*POWER(O84,AC38)-(P84))),0)</f>
        <v>0</v>
      </c>
      <c r="R84" s="161">
        <f>Q84*1000</f>
        <v>0</v>
      </c>
      <c r="S84" s="108">
        <f>R84*$N$38*$M$38</f>
        <v>0</v>
      </c>
      <c r="T84" s="165">
        <f>S84+S85+S86+S87</f>
        <v>0</v>
      </c>
      <c r="U84" s="165">
        <f>T52</f>
        <v>0</v>
      </c>
      <c r="V84" s="165">
        <f>T84-U84</f>
        <v>0</v>
      </c>
      <c r="W84" s="162">
        <f>R84+R85+R86+R87</f>
        <v>0</v>
      </c>
      <c r="X84" s="162">
        <f>IF(OR(M38=0,M38=1),$V$84,IF(M38&lt;1,$V$84/M38,IF(M38&gt;1,$V$84/M38,0)))</f>
        <v>0</v>
      </c>
    </row>
    <row r="85" spans="9:24" x14ac:dyDescent="0.3">
      <c r="L85" s="168"/>
      <c r="M85" s="168"/>
      <c r="N85" s="168"/>
      <c r="O85" s="168"/>
      <c r="P85" s="108">
        <f t="shared" ref="P85:P87" si="60">M85-N85</f>
        <v>0</v>
      </c>
      <c r="Q85" s="154">
        <f>IFERROR(((M85-N85*POWER(O85,AD38)-(P85))),0)</f>
        <v>0</v>
      </c>
      <c r="R85" s="161">
        <f t="shared" ref="R85:R87" si="61">Q85*1000</f>
        <v>0</v>
      </c>
      <c r="S85" s="108">
        <f t="shared" ref="S85:S87" si="62">R85*$N$38*$M$38</f>
        <v>0</v>
      </c>
      <c r="T85" s="154"/>
      <c r="U85" s="154"/>
      <c r="V85" s="154"/>
      <c r="W85" s="154"/>
      <c r="X85" s="154"/>
    </row>
    <row r="86" spans="9:24" x14ac:dyDescent="0.3">
      <c r="L86" s="168"/>
      <c r="M86" s="168"/>
      <c r="N86" s="168"/>
      <c r="O86" s="168"/>
      <c r="P86" s="108">
        <f t="shared" si="60"/>
        <v>0</v>
      </c>
      <c r="Q86" s="154">
        <f>IFERROR(((M86-N86*POWER(O86,AE38)-(P86))),0)</f>
        <v>0</v>
      </c>
      <c r="R86" s="161">
        <f t="shared" si="61"/>
        <v>0</v>
      </c>
      <c r="S86" s="108">
        <f t="shared" si="62"/>
        <v>0</v>
      </c>
      <c r="T86" s="154"/>
      <c r="U86" s="154"/>
      <c r="V86" s="154"/>
      <c r="W86" s="166"/>
      <c r="X86" s="154"/>
    </row>
    <row r="87" spans="9:24" x14ac:dyDescent="0.3">
      <c r="L87" s="116"/>
      <c r="M87" s="116"/>
      <c r="N87" s="116"/>
      <c r="O87" s="116"/>
      <c r="P87" s="63">
        <f t="shared" si="60"/>
        <v>0</v>
      </c>
      <c r="Q87" s="154">
        <f>IFERROR(((M87-N87*POWER(O87,AF38)-(P87))),0)</f>
        <v>0</v>
      </c>
      <c r="R87" s="100">
        <f t="shared" si="61"/>
        <v>0</v>
      </c>
      <c r="S87" s="108">
        <f t="shared" si="62"/>
        <v>0</v>
      </c>
      <c r="T87" s="63"/>
      <c r="U87" s="63"/>
      <c r="V87" s="63"/>
      <c r="W87" s="62"/>
      <c r="X87" s="62"/>
    </row>
    <row r="88" spans="9:24" x14ac:dyDescent="0.3">
      <c r="I88" s="42" t="s">
        <v>87</v>
      </c>
      <c r="L88" s="62"/>
      <c r="M88" s="62"/>
      <c r="N88" s="62"/>
      <c r="O88" s="62"/>
      <c r="P88" s="62"/>
      <c r="Q88" s="62"/>
      <c r="R88" s="62"/>
      <c r="S88" s="63"/>
      <c r="T88" s="63"/>
      <c r="U88" s="63"/>
      <c r="V88" s="63"/>
      <c r="W88" s="62"/>
      <c r="X88" s="62"/>
    </row>
    <row r="89" spans="9:24" x14ac:dyDescent="0.3">
      <c r="T89" s="57"/>
      <c r="U89" s="57"/>
      <c r="V89" s="57"/>
    </row>
    <row r="96" spans="9:24" x14ac:dyDescent="0.3">
      <c r="T96" s="63" t="s">
        <v>54</v>
      </c>
      <c r="U96" s="63"/>
      <c r="V96" s="63"/>
    </row>
    <row r="97" spans="20:24" x14ac:dyDescent="0.3">
      <c r="T97" s="63" t="s">
        <v>55</v>
      </c>
      <c r="U97" s="63" t="s">
        <v>56</v>
      </c>
      <c r="V97" s="63" t="s">
        <v>57</v>
      </c>
    </row>
    <row r="98" spans="20:24" x14ac:dyDescent="0.3">
      <c r="T98" s="119">
        <f>SUM(T60:T87)</f>
        <v>4904080.5532419886</v>
      </c>
      <c r="U98" s="119">
        <f>SUM(U60:U87)</f>
        <v>299999.99999968556</v>
      </c>
      <c r="V98" s="119">
        <f>SUM(V60:V87)</f>
        <v>4604080.5532423025</v>
      </c>
      <c r="X98" s="119">
        <f>SUM(X60:X87)</f>
        <v>11396238.993174018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2026-01-06T21:48:03Z</dcterms:modified>
</cp:coreProperties>
</file>