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E62243ED-F212-4BF5-B107-019E76BED74A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AB37" i="2" l="1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<sst xmlns="http://schemas.openxmlformats.org/spreadsheetml/2006/main" count="168" uniqueCount="148">
  <si>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</si>
  <si>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</si>
  <si>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</si>
  <si>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</si>
  <si>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</si>
  <si>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</si>
  <si>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</si>
  <si>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</si>
  <si>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</si>
  <si>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Central Region -Lake Victoria Crescent</t>
  </si>
  <si>
    <t>Fertilizer</t>
  </si>
  <si>
    <t>Abbreviation</t>
  </si>
  <si>
    <t>Nitrogen</t>
  </si>
  <si>
    <t>Phosphorous</t>
  </si>
  <si>
    <t>Potassium</t>
  </si>
  <si>
    <t>Zn</t>
  </si>
  <si>
    <t>Price/kg</t>
  </si>
  <si>
    <t>Urea</t>
  </si>
  <si>
    <t>Producer Name:</t>
  </si>
  <si>
    <t>xxx</t>
  </si>
  <si>
    <t>TSP</t>
  </si>
  <si>
    <t>Prepared By:</t>
  </si>
  <si>
    <t>DAP</t>
  </si>
  <si>
    <t>Date Prepared:</t>
  </si>
  <si>
    <t>KCl</t>
  </si>
  <si>
    <t>Crop Selection and Prices</t>
  </si>
  <si>
    <t>Crop</t>
  </si>
  <si>
    <t>Area Planted 
(Ha)*</t>
  </si>
  <si>
    <t>Expected 
Grain Value/kg †</t>
  </si>
  <si>
    <t>Banana &lt; 20 t</t>
  </si>
  <si>
    <t xml:space="preserve">Fertilizer Constraints </t>
  </si>
  <si>
    <t>Fertilizer Nutrient Total Maxes</t>
  </si>
  <si>
    <t>Maize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</si>
  <si>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</si>
  <si>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</si>
  <si>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</si>
  <si>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</si>
  <si>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</si>
  <si>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</si>
  <si>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</si>
  <si>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</si>
  <si>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ZnSO4 Max</t>
  </si>
  <si>
    <t>N Sum</t>
  </si>
  <si>
    <t>P Sum</t>
  </si>
  <si>
    <t>K Sum</t>
  </si>
  <si>
    <t>Zn sum</t>
  </si>
  <si>
    <t>Cassava</t>
  </si>
  <si>
    <t>Soybean</t>
  </si>
  <si>
    <t>Fingermillet</t>
  </si>
  <si>
    <t>Bean</t>
  </si>
  <si>
    <t>Groundnut, unshelled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</si>
  <si>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</si>
  <si>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</si>
  <si>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</si>
  <si>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</si>
  <si>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</si>
  <si>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</si>
  <si>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</si>
  <si>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</si>
  <si>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Diammonium phosphate, DAP</t>
  </si>
  <si>
    <t>Murate of potash, KCL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</si>
  <si>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</si>
  <si>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</si>
  <si>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</si>
  <si>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</si>
  <si>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</si>
  <si>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</si>
  <si>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</si>
  <si>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</si>
  <si>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</si>
  <si>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</si>
  <si>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</si>
  <si>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</si>
  <si>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</si>
  <si>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</si>
  <si>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</si>
  <si>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</si>
  <si>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xxx kg (Zn)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</si>
  <si>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</si>
  <si>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</si>
  <si>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</si>
  <si>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</si>
  <si>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</si>
  <si>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</si>
  <si>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</si>
  <si>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</si>
  <si>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</si>
  <si>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</si>
  <si>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</si>
  <si>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</si>
  <si>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</si>
  <si>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</si>
  <si>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</si>
  <si>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</si>
  <si>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</si>
  <si>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</si>
  <si>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</si>
  <si>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</si>
  <si>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</si>
  <si>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</si>
  <si>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</si>
  <si>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</si>
  <si>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</si>
  <si>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</si>
  <si>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</si>
  <si>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</si>
  <si>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</si>
  <si>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</si>
  <si>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</si>
  <si>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</si>
  <si>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Banana N</t>
  </si>
  <si>
    <t>Total Expected Net Returns to Fertilizer</t>
  </si>
  <si>
    <t>Banana  P</t>
  </si>
  <si>
    <t>Total net returns to investment in fertilizer</t>
  </si>
  <si>
    <t>Banana  K</t>
  </si>
  <si>
    <t>Banana Zn</t>
  </si>
  <si>
    <t>Maize N</t>
  </si>
  <si>
    <t>Maize P</t>
  </si>
  <si>
    <t>Maize  K</t>
  </si>
  <si>
    <t>Maize  Zn</t>
  </si>
  <si>
    <t xml:space="preserve">Cassava N 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</si>
  <si>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</si>
  <si>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Cassava P</t>
  </si>
  <si>
    <t>Cassava K</t>
  </si>
  <si>
    <t>For information, contact: Dr. Kayuki C. Kaizzi, NARL-NARO, kckaizzi@gmail.com or karidir@infocom.co.ug or landuse@infocom.co.ug</t>
  </si>
  <si>
    <t>Cassava Zn</t>
  </si>
  <si>
    <t>Soybeans N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</si>
  <si>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</si>
  <si>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 xml:space="preserve">Soybeans P </t>
  </si>
  <si>
    <t>Soybeans K</t>
  </si>
  <si>
    <t>© 2015, The Board of Regents of the University of Nebraska. All rights reserved.</t>
  </si>
  <si>
    <t>Soybeans Zn</t>
  </si>
  <si>
    <t>Finger millet N</t>
  </si>
  <si>
    <t>Finger millet P</t>
  </si>
  <si>
    <t>Finger millet K</t>
  </si>
  <si>
    <t>Funger millet Zn</t>
  </si>
  <si>
    <t xml:space="preserve">Beans N </t>
  </si>
  <si>
    <t>Beans P</t>
  </si>
  <si>
    <t>Bean K</t>
  </si>
  <si>
    <t>Bean Zn</t>
  </si>
  <si>
    <t>Groundnuts N</t>
  </si>
  <si>
    <t>Groundnuts, unshelled P</t>
  </si>
  <si>
    <t>Groundnuts, unshelled K</t>
  </si>
  <si>
    <t>Groundnuts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</si>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</sst>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2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2" fillId="7" borderId="7" xfId="0" applyNumberFormat="1" applyFont="1" applyFill="1" applyBorder="1" applyAlignment="1">
      <alignment horizontal="center"/>
    </xf>
    <xf numFmtId="2" fontId="22" fillId="7" borderId="15" xfId="0" applyNumberFormat="1" applyFont="1" applyFill="1" applyBorder="1" applyAlignment="1">
      <alignment horizontal="center"/>
    </xf>
    <xf numFmtId="2" fontId="22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/>
    <xf numFmtId="0" fontId="13" fillId="0" borderId="4" xfId="0" applyFont="1" applyBorder="1" applyAlignment="1">
      <alignment vertical="center"/>
    </xf>
    <xf numFmtId="0" fontId="23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444500</xdr:colOff>
      <xdr:row>6</xdr:row>
      <xdr:rowOff>16864</xdr:rowOff>
    </xdr:from>
    <xdr:to>
      <xdr:col>10</xdr:col>
      <xdr:colOff>263077</xdr:colOff>
      <xdr:row>10</xdr:row>
      <xdr:rowOff>101630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255114"/>
          <a:ext cx="2506744" cy="116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433917</xdr:colOff>
      <xdr:row>1</xdr:row>
      <xdr:rowOff>158749</xdr:rowOff>
    </xdr:from>
    <xdr:to>
      <xdr:col>9</xdr:col>
      <xdr:colOff>741892</xdr:colOff>
      <xdr:row>4</xdr:row>
      <xdr:rowOff>155574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67" y="338666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A44" zoomScale="90" zoomScaleNormal="90" workbookViewId="0">
      <selection activeCell="D15" sqref="D15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3" t="s">
        <v>9</v>
      </c>
      <c r="E3" s="194"/>
      <c r="F3" s="194"/>
      <c r="G3" s="194"/>
      <c r="H3" s="194"/>
      <c r="I3" s="38"/>
      <c r="J3" s="38"/>
      <c r="K3" s="38"/>
      <c r="AJ3" s="38"/>
      <c r="AK3" s="38"/>
    </row>
    <row r="4" spans="1:37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10</v>
      </c>
      <c r="O8" s="41"/>
      <c r="P8" s="42" t="s">
        <v>11</v>
      </c>
      <c r="Q8" s="43" t="s">
        <v>12</v>
      </c>
      <c r="R8" s="43" t="s">
        <v>13</v>
      </c>
      <c r="S8" s="44" t="s">
        <v>14</v>
      </c>
      <c r="T8" s="128" t="s">
        <v>15</v>
      </c>
      <c r="U8" s="129" t="s">
        <v>16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5" t="str">
        <f>B26</f>
        <v>Urea</v>
      </c>
      <c r="O9" s="21"/>
      <c r="P9" s="45" t="s">
        <v>17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18</v>
      </c>
      <c r="C10" s="213" t="s">
        <v>19</v>
      </c>
      <c r="D10" s="213"/>
      <c r="E10" s="10"/>
      <c r="F10" s="10"/>
      <c r="G10" s="38"/>
      <c r="H10" s="38"/>
      <c r="I10" s="38"/>
      <c r="J10" s="38"/>
      <c r="K10" s="38"/>
      <c r="N10" s="195" t="str">
        <f t="shared" ref="N10:N13" si="0">B27</f>
        <v>Triple super phosphate, TSP</v>
      </c>
      <c r="O10" s="1"/>
      <c r="P10" s="48" t="s">
        <v>20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21</v>
      </c>
      <c r="C11" s="213" t="s">
        <v>19</v>
      </c>
      <c r="D11" s="213"/>
      <c r="E11" s="15"/>
      <c r="F11" s="15"/>
      <c r="G11" s="38"/>
      <c r="H11" s="38"/>
      <c r="I11" s="38"/>
      <c r="J11" s="38"/>
      <c r="K11" s="38"/>
      <c r="N11" s="195" t="str">
        <f t="shared" si="0"/>
        <v>Diammonium phosphate, DAP</v>
      </c>
      <c r="O11" s="1"/>
      <c r="P11" s="48" t="s">
        <v>22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23</v>
      </c>
      <c r="C12" s="214">
        <f ca="1">TODAY()</f>
        <v>46028</v>
      </c>
      <c r="D12" s="214"/>
      <c r="E12" s="16"/>
      <c r="F12" s="16"/>
      <c r="G12" s="38"/>
      <c r="H12" s="38"/>
      <c r="I12" s="38"/>
      <c r="J12" s="38"/>
      <c r="K12" s="38"/>
      <c r="N12" s="195" t="str">
        <f t="shared" si="0"/>
        <v>Murate of potash, KCL</v>
      </c>
      <c r="O12" s="22"/>
      <c r="P12" s="51" t="s">
        <v>24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6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9" t="s">
        <v>25</v>
      </c>
      <c r="C14" s="220"/>
      <c r="D14" s="221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26</v>
      </c>
      <c r="C15" s="2" t="s">
        <v>27</v>
      </c>
      <c r="D15" s="3" t="s">
        <v>28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29</v>
      </c>
      <c r="C16" s="80">
        <v>0.5</v>
      </c>
      <c r="D16" s="80">
        <v>800</v>
      </c>
      <c r="E16" s="16"/>
      <c r="F16" s="16"/>
      <c r="G16" s="38"/>
      <c r="H16" s="38"/>
      <c r="I16" s="38"/>
      <c r="J16" s="38"/>
      <c r="K16" s="38"/>
      <c r="N16" s="200" t="s">
        <v>30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31</v>
      </c>
      <c r="Z16" s="201"/>
      <c r="AA16" s="201"/>
      <c r="AB16" s="202"/>
      <c r="AJ16" s="38"/>
      <c r="AK16" s="38"/>
    </row>
    <row r="17" spans="1:37" ht="17.5" x14ac:dyDescent="0.35">
      <c r="A17" s="38"/>
      <c r="B17" s="4" t="s">
        <v>32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26</v>
      </c>
      <c r="O17" s="48" t="s">
        <v>33</v>
      </c>
      <c r="P17" s="54" t="s">
        <v>34</v>
      </c>
      <c r="Q17" s="54" t="s">
        <v>35</v>
      </c>
      <c r="R17" s="54" t="s">
        <v>36</v>
      </c>
      <c r="S17" s="138" t="str">
        <f>P13&amp;" Min"</f>
        <v>NPK Min</v>
      </c>
      <c r="T17" s="45" t="s">
        <v>37</v>
      </c>
      <c r="U17" s="43" t="s">
        <v>38</v>
      </c>
      <c r="V17" s="43" t="s">
        <v>39</v>
      </c>
      <c r="W17" s="43" t="s">
        <v>40</v>
      </c>
      <c r="X17" s="141" t="s">
        <v>41</v>
      </c>
      <c r="Y17" s="142" t="s">
        <v>42</v>
      </c>
      <c r="Z17" s="128" t="s">
        <v>43</v>
      </c>
      <c r="AA17" s="128" t="s">
        <v>44</v>
      </c>
      <c r="AB17" s="137" t="s">
        <v>45</v>
      </c>
      <c r="AJ17" s="38"/>
      <c r="AK17" s="38"/>
    </row>
    <row r="18" spans="1:37" ht="17.5" x14ac:dyDescent="0.35">
      <c r="A18" s="38"/>
      <c r="B18" s="94" t="s">
        <v>46</v>
      </c>
      <c r="C18" s="80">
        <v>0.5</v>
      </c>
      <c r="D18" s="80">
        <v>500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Banana &lt; 20 t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47</v>
      </c>
      <c r="C19" s="80">
        <v>0.5</v>
      </c>
      <c r="D19" s="80">
        <v>1200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48</v>
      </c>
      <c r="C20" s="80">
        <v>0.5</v>
      </c>
      <c r="D20" s="80">
        <v>1400</v>
      </c>
      <c r="E20" s="16"/>
      <c r="F20" s="16"/>
      <c r="G20" s="38"/>
      <c r="H20" s="38"/>
      <c r="I20" s="38"/>
      <c r="J20" s="38"/>
      <c r="K20" s="38"/>
      <c r="N20" s="126" t="str">
        <f t="shared" si="1"/>
        <v>Cassava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49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Soybean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50</v>
      </c>
      <c r="C22" s="80">
        <v>0.5</v>
      </c>
      <c r="D22" s="80">
        <v>2400</v>
      </c>
      <c r="E22" s="38"/>
      <c r="F22" s="38"/>
      <c r="G22" s="38"/>
      <c r="H22" s="38"/>
      <c r="I22" s="38"/>
      <c r="J22" s="38"/>
      <c r="K22" s="38"/>
      <c r="N22" s="126" t="str">
        <f t="shared" si="1"/>
        <v>Fingermillet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51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15" t="s">
        <v>52</v>
      </c>
      <c r="C24" s="216"/>
      <c r="D24" s="216"/>
      <c r="E24" s="216"/>
      <c r="F24" s="216"/>
      <c r="G24" s="217"/>
      <c r="H24" s="38"/>
      <c r="I24" s="38"/>
      <c r="J24" s="38"/>
      <c r="K24" s="38"/>
      <c r="N24" s="126" t="str">
        <f t="shared" si="1"/>
        <v>Groundnut, unshelled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53</v>
      </c>
      <c r="C25" s="18" t="s">
        <v>54</v>
      </c>
      <c r="D25" s="19" t="s">
        <v>55</v>
      </c>
      <c r="E25" s="18" t="s">
        <v>56</v>
      </c>
      <c r="F25" s="120" t="s">
        <v>15</v>
      </c>
      <c r="G25" s="20" t="s">
        <v>57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17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58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59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60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61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0" t="s">
        <v>62</v>
      </c>
      <c r="M30" s="201"/>
      <c r="N30" s="202"/>
      <c r="O30" s="210" t="s">
        <v>63</v>
      </c>
      <c r="P30" s="211"/>
      <c r="Q30" s="211"/>
      <c r="R30" s="211"/>
      <c r="S30" s="212"/>
      <c r="T30" s="203" t="s">
        <v>64</v>
      </c>
      <c r="U30" s="203"/>
      <c r="V30" s="203"/>
      <c r="W30" s="203"/>
      <c r="X30" s="203"/>
      <c r="Y30" s="203"/>
      <c r="Z30" s="203"/>
      <c r="AA30" s="203"/>
      <c r="AB30" s="203"/>
      <c r="AC30" s="203" t="s">
        <v>65</v>
      </c>
      <c r="AD30" s="203"/>
      <c r="AE30" s="203"/>
      <c r="AF30" s="203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26</v>
      </c>
      <c r="M31" s="61" t="s">
        <v>66</v>
      </c>
      <c r="N31" s="45" t="s">
        <v>67</v>
      </c>
      <c r="O31" s="62" t="s">
        <v>68</v>
      </c>
      <c r="P31" s="63" t="s">
        <v>69</v>
      </c>
      <c r="Q31" s="63" t="s">
        <v>70</v>
      </c>
      <c r="R31" s="63" t="s">
        <v>71</v>
      </c>
      <c r="S31" s="63" t="str">
        <f>P13&amp;" kg"</f>
        <v>NPK kg</v>
      </c>
      <c r="T31" s="61" t="s">
        <v>72</v>
      </c>
      <c r="U31" s="61" t="s">
        <v>73</v>
      </c>
      <c r="V31" s="61" t="s">
        <v>74</v>
      </c>
      <c r="W31" s="61" t="s">
        <v>75</v>
      </c>
      <c r="X31" s="61" t="s">
        <v>76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77</v>
      </c>
      <c r="AC31" s="61" t="s">
        <v>42</v>
      </c>
      <c r="AD31" s="61" t="s">
        <v>43</v>
      </c>
      <c r="AE31" s="106" t="s">
        <v>44</v>
      </c>
      <c r="AF31" s="108" t="s">
        <v>45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Banana &lt; 20 t</v>
      </c>
      <c r="M32" s="45">
        <f t="shared" si="7"/>
        <v>0.5</v>
      </c>
      <c r="N32" s="42">
        <f t="shared" ref="N32:N38" si="8">IF(D16&lt;=0,0,D16)</f>
        <v>800</v>
      </c>
      <c r="O32" s="64">
        <v>61.840039486182242</v>
      </c>
      <c r="P32" s="65">
        <v>0</v>
      </c>
      <c r="Q32" s="65">
        <v>0</v>
      </c>
      <c r="R32" s="65">
        <v>50.59233715953232</v>
      </c>
      <c r="S32" s="65">
        <v>0</v>
      </c>
      <c r="T32" s="66">
        <f t="shared" ref="T32:T38" si="9">IF(M32&lt;=0,0,O32*$Q$9)</f>
        <v>28.446418163643834</v>
      </c>
      <c r="U32" s="67">
        <f>IF(M32&lt;=0,0,P32*$R$10)</f>
        <v>0</v>
      </c>
      <c r="V32" s="67">
        <f>IF(M32&lt;=0,0,Q32*$Q$11)</f>
        <v>0</v>
      </c>
      <c r="W32" s="67">
        <f>IF(M32&lt;=0,0,Q32*$R$11)</f>
        <v>0</v>
      </c>
      <c r="X32" s="67">
        <f>IF(M32&lt;=0,0,R32*$S$12)</f>
        <v>25.194983905447092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28.446418163643834</v>
      </c>
      <c r="AD32" s="99">
        <f>U32+W32+Z32</f>
        <v>0</v>
      </c>
      <c r="AE32" s="107">
        <f>X32+AA32</f>
        <v>25.194983905447092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15" t="s">
        <v>78</v>
      </c>
      <c r="C33" s="217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18.612682502297911</v>
      </c>
      <c r="P33" s="65">
        <v>0</v>
      </c>
      <c r="Q33" s="65">
        <v>44.124359808990889</v>
      </c>
      <c r="R33" s="65">
        <v>0.81909109694190407</v>
      </c>
      <c r="S33" s="65">
        <v>0</v>
      </c>
      <c r="T33" s="66">
        <f t="shared" si="9"/>
        <v>8.5618339510570394</v>
      </c>
      <c r="U33" s="67">
        <f t="shared" ref="U33:U37" si="13">IF(M33&lt;=0,0,P33*$R$10)</f>
        <v>0</v>
      </c>
      <c r="V33" s="67">
        <f>IF(M33&lt;=0,0,Q33*$Q$11)</f>
        <v>7.9423847656183595</v>
      </c>
      <c r="W33" s="67">
        <f t="shared" ref="W33:W35" si="14">IF(M33&lt;=0,0,Q33*$R$11)</f>
        <v>8.8698788088033478</v>
      </c>
      <c r="X33" s="67">
        <f t="shared" ref="X33:X35" si="15">IF(M33&lt;=0,0,R33*$S$12)</f>
        <v>0.4079073662770682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16.5042187166754</v>
      </c>
      <c r="AD33" s="99">
        <f t="shared" ref="AD33:AD38" si="17">U33+W33+Z33</f>
        <v>8.8698788088033478</v>
      </c>
      <c r="AE33" s="107">
        <f t="shared" ref="AE33:AE38" si="18">X33+AA33</f>
        <v>0.4079073662770682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79</v>
      </c>
      <c r="C34" s="80">
        <v>500000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Cassava</v>
      </c>
      <c r="M34" s="51">
        <f t="shared" si="7"/>
        <v>0.5</v>
      </c>
      <c r="N34" s="90">
        <f t="shared" si="8"/>
        <v>500</v>
      </c>
      <c r="O34" s="70">
        <v>0</v>
      </c>
      <c r="P34" s="71">
        <v>0</v>
      </c>
      <c r="Q34" s="71">
        <v>0</v>
      </c>
      <c r="R34" s="71">
        <v>29.344347296876052</v>
      </c>
      <c r="S34" s="71">
        <v>0</v>
      </c>
      <c r="T34" s="85">
        <f t="shared" si="9"/>
        <v>0</v>
      </c>
      <c r="U34" s="86">
        <f t="shared" si="13"/>
        <v>0</v>
      </c>
      <c r="V34" s="86">
        <f>IF(M34&lt;=0,0,Q34*$Q$11)</f>
        <v>0</v>
      </c>
      <c r="W34" s="86">
        <f t="shared" si="14"/>
        <v>0</v>
      </c>
      <c r="X34" s="86">
        <f t="shared" si="15"/>
        <v>14.613484953844273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0</v>
      </c>
      <c r="AD34" s="99">
        <f t="shared" si="17"/>
        <v>0</v>
      </c>
      <c r="AE34" s="107">
        <f t="shared" si="18"/>
        <v>14.613484953844273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22"/>
      <c r="C35" s="222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Soybean</v>
      </c>
      <c r="M35" s="51">
        <f t="shared" si="7"/>
        <v>0.5</v>
      </c>
      <c r="N35" s="69">
        <f t="shared" si="8"/>
        <v>1200</v>
      </c>
      <c r="O35" s="70">
        <v>0</v>
      </c>
      <c r="P35" s="71">
        <v>60.77901187340585</v>
      </c>
      <c r="Q35" s="71">
        <v>0</v>
      </c>
      <c r="R35" s="71">
        <v>20.879274529635012</v>
      </c>
      <c r="S35" s="65">
        <v>0</v>
      </c>
      <c r="T35" s="66">
        <f t="shared" si="9"/>
        <v>0</v>
      </c>
      <c r="U35" s="67">
        <f t="shared" si="13"/>
        <v>12.217796966792044</v>
      </c>
      <c r="V35" s="67">
        <f>IF(M35&lt;=0,0,Q35*$Q$11)</f>
        <v>0</v>
      </c>
      <c r="W35" s="67">
        <f t="shared" si="14"/>
        <v>0</v>
      </c>
      <c r="X35" s="67">
        <f t="shared" si="15"/>
        <v>10.397878715758235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0</v>
      </c>
      <c r="AD35" s="99">
        <f t="shared" si="17"/>
        <v>12.217796966792044</v>
      </c>
      <c r="AE35" s="107">
        <f t="shared" si="18"/>
        <v>10.397878715758235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Fingermillet</v>
      </c>
      <c r="M36" s="48">
        <f t="shared" si="7"/>
        <v>0.5</v>
      </c>
      <c r="N36" s="69">
        <f t="shared" si="8"/>
        <v>1400</v>
      </c>
      <c r="O36" s="64">
        <v>50.077726044707795</v>
      </c>
      <c r="P36" s="65">
        <v>0</v>
      </c>
      <c r="Q36" s="65">
        <v>31.135199472331511</v>
      </c>
      <c r="R36" s="65">
        <v>14.78681655751226</v>
      </c>
      <c r="S36" s="65">
        <v>0</v>
      </c>
      <c r="T36" s="66">
        <f t="shared" si="9"/>
        <v>23.035753980565588</v>
      </c>
      <c r="U36" s="67">
        <f>IF(M36&lt;=0,0,P36*$R$10)</f>
        <v>0</v>
      </c>
      <c r="V36" s="67">
        <f>IF(M36&lt;=0,0,Q36*$Q$11)</f>
        <v>5.6043359050196715</v>
      </c>
      <c r="W36" s="67">
        <f>IF(M36&lt;=0,0,Q36*$R$11)</f>
        <v>6.2587977979280804</v>
      </c>
      <c r="X36" s="67">
        <f>IF(M36&lt;=0,0,R36*$S$12)</f>
        <v>7.3638346456411048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28.640089885585258</v>
      </c>
      <c r="AD36" s="99">
        <f t="shared" si="17"/>
        <v>6.2587977979280804</v>
      </c>
      <c r="AE36" s="107">
        <f t="shared" si="18"/>
        <v>7.3638346456411048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19.720138137922888</v>
      </c>
      <c r="P37" s="65">
        <v>0</v>
      </c>
      <c r="Q37" s="65">
        <v>0</v>
      </c>
      <c r="R37" s="65">
        <v>8.0591435647079521</v>
      </c>
      <c r="S37" s="65">
        <v>0</v>
      </c>
      <c r="T37" s="66">
        <f t="shared" si="9"/>
        <v>9.0712635434445286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4.0134534952245593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9.0712635434445286</v>
      </c>
      <c r="AD37" s="99">
        <f t="shared" si="17"/>
        <v>0</v>
      </c>
      <c r="AE37" s="107">
        <f t="shared" si="18"/>
        <v>4.0134534952245593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Groundnut, unshelled</v>
      </c>
      <c r="M38" s="61">
        <f t="shared" si="7"/>
        <v>0.5</v>
      </c>
      <c r="N38" s="61">
        <f t="shared" si="8"/>
        <v>2400</v>
      </c>
      <c r="O38" s="98">
        <v>0</v>
      </c>
      <c r="P38" s="98">
        <v>0</v>
      </c>
      <c r="Q38" s="98">
        <v>0</v>
      </c>
      <c r="R38" s="98">
        <v>16.920089147523111</v>
      </c>
      <c r="S38" s="98">
        <v>0</v>
      </c>
      <c r="T38" s="98">
        <f t="shared" si="9"/>
        <v>0</v>
      </c>
      <c r="U38" s="98">
        <f>IF(M38&lt;=0,0,P38*$R$10)</f>
        <v>0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8.4262043954665078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0</v>
      </c>
      <c r="AE38" s="107">
        <f t="shared" si="18"/>
        <v>8.4262043954665078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80</v>
      </c>
      <c r="M39" s="60"/>
      <c r="N39" s="61"/>
      <c r="O39" s="98">
        <f>SUM(O32:O38)</f>
        <v>150.25058617111085</v>
      </c>
      <c r="P39" s="98">
        <f t="shared" ref="P39:S39" si="22">SUM(P32:P38)</f>
        <v>60.77901187340585</v>
      </c>
      <c r="Q39" s="98">
        <f t="shared" si="22"/>
        <v>75.259559281322396</v>
      </c>
      <c r="R39" s="98">
        <f t="shared" si="22"/>
        <v>141.40109935272861</v>
      </c>
      <c r="S39" s="98">
        <f t="shared" si="22"/>
        <v>0</v>
      </c>
      <c r="T39" s="100">
        <f>T32+T33+T34+T35+T36+T37+T38</f>
        <v>69.115269638710984</v>
      </c>
      <c r="U39" s="100">
        <f t="shared" ref="U39:AA39" si="23">U32+U33+U34+U35+U36+U37+U38</f>
        <v>12.217796966792044</v>
      </c>
      <c r="V39" s="100">
        <f t="shared" si="23"/>
        <v>13.546720670638031</v>
      </c>
      <c r="W39" s="100">
        <f t="shared" si="23"/>
        <v>15.128676606731428</v>
      </c>
      <c r="X39" s="100">
        <f t="shared" si="23"/>
        <v>70.417747477658835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82.661990309349022</v>
      </c>
      <c r="AD39" s="101">
        <f t="shared" si="24"/>
        <v>27.346473573523475</v>
      </c>
      <c r="AE39" s="101">
        <f t="shared" si="24"/>
        <v>70.417747477658835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81</v>
      </c>
      <c r="O40" s="98">
        <f>$M$32*O32+$M$33*O33+$M$34*O34+$M$35*O35+$M$36*O36+$M$37*O37+O38*$M$38</f>
        <v>75.125293085555427</v>
      </c>
      <c r="P40" s="98">
        <f t="shared" ref="P40:S40" si="25">$M$32*P32+$M$33*P33+$M$34*P34+$M$35*P35+$M$36*P36+$M$37*P37+P38*$M$38</f>
        <v>30.389505936702925</v>
      </c>
      <c r="Q40" s="98">
        <f>$M$32*Q32+$M$33*Q33+$M$34*Q34+$M$35*Q35+$M$36*Q36+$M$37*Q37+Q38*$M$38</f>
        <v>37.629779640661198</v>
      </c>
      <c r="R40" s="98">
        <f t="shared" si="25"/>
        <v>70.700549676364304</v>
      </c>
      <c r="S40" s="98">
        <f t="shared" si="25"/>
        <v>0</v>
      </c>
      <c r="AJ40" s="38"/>
      <c r="AK40" s="38"/>
    </row>
    <row r="41" spans="1:37" ht="18" x14ac:dyDescent="0.4">
      <c r="A41" s="38"/>
      <c r="B41" s="205" t="s">
        <v>82</v>
      </c>
      <c r="C41" s="223"/>
      <c r="D41" s="223"/>
      <c r="E41" s="223"/>
      <c r="F41" s="223"/>
      <c r="G41" s="223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9" t="s">
        <v>83</v>
      </c>
      <c r="D42" s="230"/>
      <c r="E42" s="230"/>
      <c r="F42" s="230"/>
      <c r="G42" s="230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26</v>
      </c>
      <c r="C43" s="32" t="s">
        <v>17</v>
      </c>
      <c r="D43" s="32" t="s">
        <v>20</v>
      </c>
      <c r="E43" s="32" t="s">
        <v>22</v>
      </c>
      <c r="F43" s="32" t="s">
        <v>84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Banana &lt; 20 t</v>
      </c>
      <c r="C44" s="6">
        <f>O32</f>
        <v>61.840039486182242</v>
      </c>
      <c r="D44" s="6">
        <f>P32</f>
        <v>0</v>
      </c>
      <c r="E44" s="6">
        <f>Q32</f>
        <v>0</v>
      </c>
      <c r="F44" s="6">
        <f>R32</f>
        <v>50.59233715953232</v>
      </c>
      <c r="G44" s="6">
        <f>S32</f>
        <v>0</v>
      </c>
      <c r="H44" s="38"/>
      <c r="I44" s="38"/>
      <c r="J44" s="38"/>
      <c r="K44" s="38"/>
      <c r="L44" s="39" t="s">
        <v>85</v>
      </c>
      <c r="N44" s="200" t="s">
        <v>86</v>
      </c>
      <c r="O44" s="201"/>
      <c r="P44" s="201"/>
      <c r="Q44" s="201"/>
      <c r="R44" s="201"/>
      <c r="S44" s="201"/>
      <c r="T44" s="201"/>
      <c r="U44" s="212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18.612682502297911</v>
      </c>
      <c r="D45" s="6">
        <f t="shared" si="27"/>
        <v>0</v>
      </c>
      <c r="E45" s="6">
        <f t="shared" si="27"/>
        <v>44.124359808990889</v>
      </c>
      <c r="F45" s="6">
        <f t="shared" ref="F45:F50" si="28">R33</f>
        <v>0.81909109694190407</v>
      </c>
      <c r="G45" s="6">
        <f t="shared" ref="G45:G50" si="29">S33</f>
        <v>0</v>
      </c>
      <c r="H45" s="38"/>
      <c r="I45" s="38"/>
      <c r="J45" s="38"/>
      <c r="K45" s="38"/>
      <c r="N45" s="73" t="s">
        <v>26</v>
      </c>
      <c r="O45" s="48" t="s">
        <v>87</v>
      </c>
      <c r="P45" s="54" t="s">
        <v>88</v>
      </c>
      <c r="Q45" s="54" t="s">
        <v>89</v>
      </c>
      <c r="R45" s="54" t="s">
        <v>90</v>
      </c>
      <c r="S45" s="75" t="str">
        <f>P13</f>
        <v>NPK</v>
      </c>
      <c r="T45" s="48" t="s">
        <v>91</v>
      </c>
      <c r="U45" s="61" t="s">
        <v>78</v>
      </c>
      <c r="Y45" s="54"/>
      <c r="AJ45" s="38"/>
      <c r="AK45" s="38"/>
    </row>
    <row r="46" spans="1:37" ht="18" x14ac:dyDescent="0.35">
      <c r="A46" s="38"/>
      <c r="B46" s="33" t="str">
        <f t="shared" si="26"/>
        <v>Cassava</v>
      </c>
      <c r="C46" s="6">
        <f t="shared" si="27"/>
        <v>0</v>
      </c>
      <c r="D46" s="6">
        <f t="shared" si="27"/>
        <v>0</v>
      </c>
      <c r="E46" s="6">
        <f t="shared" si="27"/>
        <v>0</v>
      </c>
      <c r="F46" s="6">
        <f t="shared" si="28"/>
        <v>29.344347296876052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Banana &lt; 20 t</v>
      </c>
      <c r="O46" s="56">
        <f>O32*$U$9</f>
        <v>148416.09476683737</v>
      </c>
      <c r="P46" s="57">
        <f>P32*$U$10</f>
        <v>0</v>
      </c>
      <c r="Q46" s="57">
        <f>Q32*$U$11</f>
        <v>0</v>
      </c>
      <c r="R46" s="57">
        <f>R32*$U$12</f>
        <v>101184.67431906464</v>
      </c>
      <c r="S46" s="57">
        <f>S32*$U$13</f>
        <v>0</v>
      </c>
      <c r="T46" s="87">
        <f>SUM(O46:S46)*M32</f>
        <v>124800.38454295101</v>
      </c>
      <c r="U46" s="224"/>
      <c r="Y46" s="54"/>
      <c r="AJ46" s="38"/>
      <c r="AK46" s="38"/>
    </row>
    <row r="47" spans="1:37" ht="15.75" customHeight="1" x14ac:dyDescent="0.35">
      <c r="A47" s="38"/>
      <c r="B47" s="33" t="str">
        <f t="shared" si="26"/>
        <v>Soybean</v>
      </c>
      <c r="C47" s="6">
        <f t="shared" si="27"/>
        <v>0</v>
      </c>
      <c r="D47" s="6">
        <f t="shared" si="27"/>
        <v>60.77901187340585</v>
      </c>
      <c r="E47" s="6">
        <f t="shared" si="27"/>
        <v>0</v>
      </c>
      <c r="F47" s="6">
        <f t="shared" si="28"/>
        <v>20.879274529635012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44670.438005514989</v>
      </c>
      <c r="P47" s="57">
        <f t="shared" ref="P47:P52" si="32">P33*$U$10</f>
        <v>0</v>
      </c>
      <c r="Q47" s="57">
        <f t="shared" ref="Q47:Q52" si="33">Q33*$U$11</f>
        <v>123548.20746517449</v>
      </c>
      <c r="R47" s="57">
        <f t="shared" ref="R47:R52" si="34">R33*$U$12</f>
        <v>1638.1821938838082</v>
      </c>
      <c r="S47" s="57">
        <f t="shared" ref="S47:S52" si="35">S33*$U$13</f>
        <v>0</v>
      </c>
      <c r="T47" s="88">
        <f>SUM(O47:S47)*M33</f>
        <v>84928.413832286649</v>
      </c>
      <c r="U47" s="225"/>
      <c r="AJ47" s="38"/>
      <c r="AK47" s="38"/>
    </row>
    <row r="48" spans="1:37" ht="18" x14ac:dyDescent="0.35">
      <c r="A48" s="38"/>
      <c r="B48" s="33" t="str">
        <f t="shared" si="26"/>
        <v>Fingermillet</v>
      </c>
      <c r="C48" s="6">
        <f t="shared" si="27"/>
        <v>50.077726044707795</v>
      </c>
      <c r="D48" s="6">
        <f t="shared" si="27"/>
        <v>0</v>
      </c>
      <c r="E48" s="6">
        <f t="shared" si="27"/>
        <v>31.135199472331511</v>
      </c>
      <c r="F48" s="6">
        <f t="shared" si="28"/>
        <v>14.78681655751226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Cassava</v>
      </c>
      <c r="O48" s="56">
        <f t="shared" si="31"/>
        <v>0</v>
      </c>
      <c r="P48" s="57">
        <f t="shared" si="32"/>
        <v>0</v>
      </c>
      <c r="Q48" s="57">
        <f t="shared" si="33"/>
        <v>0</v>
      </c>
      <c r="R48" s="57">
        <f t="shared" si="34"/>
        <v>58688.694593752101</v>
      </c>
      <c r="S48" s="57">
        <f t="shared" si="35"/>
        <v>0</v>
      </c>
      <c r="T48" s="88">
        <f>SUM(O48:S48)*M34</f>
        <v>29344.347296876051</v>
      </c>
      <c r="U48" s="225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19.720138137922888</v>
      </c>
      <c r="D49" s="6">
        <f t="shared" si="27"/>
        <v>0</v>
      </c>
      <c r="E49" s="6">
        <f t="shared" si="27"/>
        <v>0</v>
      </c>
      <c r="F49" s="6">
        <f t="shared" si="28"/>
        <v>8.0591435647079521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Soybean</v>
      </c>
      <c r="O49" s="56">
        <f t="shared" si="31"/>
        <v>0</v>
      </c>
      <c r="P49" s="57">
        <f t="shared" si="32"/>
        <v>145869.62849617403</v>
      </c>
      <c r="Q49" s="57">
        <f t="shared" si="33"/>
        <v>0</v>
      </c>
      <c r="R49" s="57">
        <f t="shared" si="34"/>
        <v>41758.549059270023</v>
      </c>
      <c r="S49" s="57">
        <f t="shared" si="35"/>
        <v>0</v>
      </c>
      <c r="T49" s="88">
        <f>SUM(O49:S49)*M35</f>
        <v>93814.088777722034</v>
      </c>
      <c r="U49" s="225"/>
      <c r="AJ49" s="38"/>
      <c r="AK49" s="38"/>
    </row>
    <row r="50" spans="1:37" ht="18" x14ac:dyDescent="0.35">
      <c r="A50" s="38"/>
      <c r="B50" s="33" t="str">
        <f t="shared" si="26"/>
        <v>Groundnut, unshelled</v>
      </c>
      <c r="C50" s="118">
        <f t="shared" si="27"/>
        <v>0</v>
      </c>
      <c r="D50" s="118">
        <f t="shared" si="27"/>
        <v>0</v>
      </c>
      <c r="E50" s="118">
        <f t="shared" si="27"/>
        <v>0</v>
      </c>
      <c r="F50" s="119">
        <f t="shared" si="28"/>
        <v>16.920089147523111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Fingermillet</v>
      </c>
      <c r="O50" s="56">
        <f t="shared" si="31"/>
        <v>120186.54250729871</v>
      </c>
      <c r="P50" s="57">
        <f t="shared" si="32"/>
        <v>0</v>
      </c>
      <c r="Q50" s="57">
        <f t="shared" si="33"/>
        <v>87178.558522528227</v>
      </c>
      <c r="R50" s="57">
        <f t="shared" si="34"/>
        <v>29573.633115024521</v>
      </c>
      <c r="S50" s="57">
        <f t="shared" si="35"/>
        <v>0</v>
      </c>
      <c r="T50" s="88">
        <f t="shared" ref="T50" si="36">SUM(O50:S50)*M36</f>
        <v>118469.36707242572</v>
      </c>
      <c r="U50" s="225"/>
      <c r="W50" s="218"/>
      <c r="X50" s="218"/>
      <c r="AJ50" s="38"/>
      <c r="AK50" s="38"/>
    </row>
    <row r="51" spans="1:37" ht="18" x14ac:dyDescent="0.4">
      <c r="A51" s="38"/>
      <c r="B51" s="31" t="s">
        <v>92</v>
      </c>
      <c r="C51" s="170">
        <f>O40</f>
        <v>75.125293085555427</v>
      </c>
      <c r="D51" s="170">
        <f>P40</f>
        <v>30.389505936702925</v>
      </c>
      <c r="E51" s="170">
        <f>Q40</f>
        <v>37.629779640661198</v>
      </c>
      <c r="F51" s="170">
        <f>R40</f>
        <v>70.700549676364304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47328.331531014934</v>
      </c>
      <c r="P51" s="57">
        <f t="shared" si="32"/>
        <v>0</v>
      </c>
      <c r="Q51" s="57">
        <f t="shared" si="33"/>
        <v>0</v>
      </c>
      <c r="R51" s="57">
        <f t="shared" si="34"/>
        <v>16118.287129415905</v>
      </c>
      <c r="S51" s="57">
        <f t="shared" si="35"/>
        <v>0</v>
      </c>
      <c r="T51" s="89">
        <f>SUM(O51:S51)*M37</f>
        <v>31723.309330215419</v>
      </c>
      <c r="U51" s="225"/>
      <c r="W51" s="54"/>
      <c r="X51" s="54"/>
      <c r="AJ51" s="38"/>
      <c r="AK51" s="38"/>
    </row>
    <row r="52" spans="1:37" ht="18" x14ac:dyDescent="0.4">
      <c r="A52" s="38"/>
      <c r="B52" s="205" t="s">
        <v>93</v>
      </c>
      <c r="C52" s="227"/>
      <c r="D52" s="228"/>
      <c r="E52" s="38"/>
      <c r="F52" s="38"/>
      <c r="G52" s="38"/>
      <c r="H52" s="14"/>
      <c r="I52" s="38"/>
      <c r="J52" s="38"/>
      <c r="K52" s="38"/>
      <c r="N52" s="126" t="str">
        <f t="shared" si="30"/>
        <v>Groundnut, unshelled</v>
      </c>
      <c r="O52" s="56">
        <f t="shared" si="31"/>
        <v>0</v>
      </c>
      <c r="P52" s="57">
        <f t="shared" si="32"/>
        <v>0</v>
      </c>
      <c r="Q52" s="57">
        <f t="shared" si="33"/>
        <v>0</v>
      </c>
      <c r="R52" s="57">
        <f t="shared" si="34"/>
        <v>33840.178295046222</v>
      </c>
      <c r="S52" s="57">
        <f t="shared" si="35"/>
        <v>0</v>
      </c>
      <c r="T52" s="89">
        <f>SUM(O52:S52)*M38</f>
        <v>16920.089147523111</v>
      </c>
      <c r="U52" s="226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26</v>
      </c>
      <c r="C53" s="36" t="s">
        <v>94</v>
      </c>
      <c r="D53" s="37" t="s">
        <v>95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51</v>
      </c>
      <c r="O53" s="100">
        <f>SUM(O46:O52)</f>
        <v>360601.40681066603</v>
      </c>
      <c r="P53" s="100">
        <f t="shared" ref="P53:S53" si="37">SUM(P46:P52)</f>
        <v>145869.62849617403</v>
      </c>
      <c r="Q53" s="100">
        <f t="shared" si="37"/>
        <v>210726.7659877027</v>
      </c>
      <c r="R53" s="100">
        <f t="shared" si="37"/>
        <v>282802.19870545721</v>
      </c>
      <c r="S53" s="100">
        <f t="shared" si="37"/>
        <v>0</v>
      </c>
      <c r="T53" s="103">
        <f>T52+T51+T50+T49+T48+T47+T46</f>
        <v>500000.00000000006</v>
      </c>
      <c r="U53" s="60">
        <f>C34</f>
        <v>500000</v>
      </c>
      <c r="Y53" s="54"/>
      <c r="AJ53" s="38"/>
      <c r="AK53" s="38"/>
    </row>
    <row r="54" spans="1:37" ht="18" x14ac:dyDescent="0.35">
      <c r="A54" s="38"/>
      <c r="B54" s="33" t="str">
        <f>B16</f>
        <v>Banana &lt; 20 t</v>
      </c>
      <c r="C54" s="7">
        <f>W60</f>
        <v>5673.2931718064456</v>
      </c>
      <c r="D54" s="7">
        <f>X60</f>
        <v>4289033.7683592541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1606.3762257410438</v>
      </c>
      <c r="D55" s="7">
        <f>X64</f>
        <v>793968.90778005309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Cassava</v>
      </c>
      <c r="C56" s="7">
        <f>W68</f>
        <v>731.84758172477518</v>
      </c>
      <c r="D56" s="7">
        <f>X68</f>
        <v>307235.09626863548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Soybean</v>
      </c>
      <c r="C57" s="7">
        <f>W72</f>
        <v>1392.1525260789554</v>
      </c>
      <c r="D57" s="7">
        <f>X72</f>
        <v>1482954.8537393021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Fingermillet</v>
      </c>
      <c r="C58" s="7">
        <f>W76</f>
        <v>1142.9600582309167</v>
      </c>
      <c r="D58" s="7">
        <f>X76</f>
        <v>1363205.3473784318</v>
      </c>
      <c r="E58" s="38"/>
      <c r="F58" s="38"/>
      <c r="G58" s="38"/>
      <c r="H58" s="76"/>
      <c r="I58" s="38"/>
      <c r="J58" s="38"/>
      <c r="K58" s="38"/>
      <c r="L58" s="200" t="s">
        <v>96</v>
      </c>
      <c r="M58" s="201"/>
      <c r="N58" s="201"/>
      <c r="O58" s="201"/>
      <c r="P58" s="201"/>
      <c r="Q58" s="201"/>
      <c r="R58" s="202"/>
      <c r="S58" s="200" t="s">
        <v>97</v>
      </c>
      <c r="T58" s="201"/>
      <c r="U58" s="201"/>
      <c r="V58" s="201"/>
      <c r="W58" s="200" t="s">
        <v>98</v>
      </c>
      <c r="X58" s="202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348.21411813028055</v>
      </c>
      <c r="D59" s="7">
        <f>X80</f>
        <v>458874.55853499001</v>
      </c>
      <c r="E59" s="38"/>
      <c r="F59" s="38"/>
      <c r="G59" s="38"/>
      <c r="H59" s="76"/>
      <c r="I59" s="38"/>
      <c r="J59" s="38"/>
      <c r="K59" s="38"/>
      <c r="L59" s="60" t="s">
        <v>99</v>
      </c>
      <c r="M59" s="61" t="s">
        <v>100</v>
      </c>
      <c r="N59" s="61" t="s">
        <v>101</v>
      </c>
      <c r="O59" s="61" t="s">
        <v>102</v>
      </c>
      <c r="P59" s="60" t="s">
        <v>103</v>
      </c>
      <c r="Q59" s="61" t="s">
        <v>104</v>
      </c>
      <c r="R59" s="61" t="s">
        <v>105</v>
      </c>
      <c r="S59" s="61" t="s">
        <v>106</v>
      </c>
      <c r="T59" s="61" t="s">
        <v>107</v>
      </c>
      <c r="U59" s="61" t="s">
        <v>108</v>
      </c>
      <c r="V59" s="61" t="s">
        <v>109</v>
      </c>
      <c r="W59" s="61" t="s">
        <v>94</v>
      </c>
      <c r="X59" s="61" t="s">
        <v>95</v>
      </c>
      <c r="AJ59" s="38"/>
      <c r="AK59" s="38"/>
    </row>
    <row r="60" spans="1:37" ht="18" x14ac:dyDescent="0.35">
      <c r="A60" s="38"/>
      <c r="B60" s="33" t="str">
        <f t="shared" si="38"/>
        <v>Groundnut, unshelled</v>
      </c>
      <c r="C60" s="117">
        <f>W84</f>
        <v>140.99349442660159</v>
      </c>
      <c r="D60" s="7">
        <f>X84</f>
        <v>304544.2083287976</v>
      </c>
      <c r="E60" s="38"/>
      <c r="F60" s="38"/>
      <c r="G60" s="38"/>
      <c r="H60" s="38"/>
      <c r="I60" s="38"/>
      <c r="J60" s="38"/>
      <c r="K60" s="38"/>
      <c r="L60" s="114" t="s">
        <v>110</v>
      </c>
      <c r="M60" s="197">
        <v>21.500040118766698</v>
      </c>
      <c r="N60" s="197">
        <v>4.0778178965444738</v>
      </c>
      <c r="O60" s="198">
        <v>0.90300000000000002</v>
      </c>
      <c r="P60" s="61">
        <f>M60-N60</f>
        <v>17.422222222222224</v>
      </c>
      <c r="Q60" s="98">
        <f>IFERROR((M60-N60*POWER(O60,AC32)-(P60)),0)</f>
        <v>3.8539957568474534</v>
      </c>
      <c r="R60" s="98">
        <f>Q60*1000</f>
        <v>3853.9957568474533</v>
      </c>
      <c r="S60" s="104">
        <f>R60*N32*M32</f>
        <v>1541598.3027389813</v>
      </c>
      <c r="T60" s="116">
        <f>S60+S61+S62+S63</f>
        <v>2269317.268722578</v>
      </c>
      <c r="U60" s="116">
        <f>T46</f>
        <v>124800.38454295101</v>
      </c>
      <c r="V60" s="116">
        <f>T60-U60</f>
        <v>2144516.8841796271</v>
      </c>
      <c r="W60" s="103">
        <f>R60+R61+R62+R63</f>
        <v>5673.2931718064456</v>
      </c>
      <c r="X60" s="147">
        <f>IF(OR(M32=0,M32=1),$V$60,IF(M32&lt;1,$V$60/M32,IF(M32&gt;1,$V$60/M32,0)))</f>
        <v>4289033.7683592541</v>
      </c>
      <c r="AJ60" s="38"/>
      <c r="AK60" s="38"/>
    </row>
    <row r="61" spans="1:37" ht="18" x14ac:dyDescent="0.4">
      <c r="A61" s="38"/>
      <c r="B61" s="205" t="s">
        <v>111</v>
      </c>
      <c r="C61" s="206"/>
      <c r="D61" s="207"/>
      <c r="E61" s="38"/>
      <c r="F61" s="38"/>
      <c r="G61" s="38"/>
      <c r="H61" s="38"/>
      <c r="I61" s="38"/>
      <c r="J61" s="38"/>
      <c r="K61" s="38"/>
      <c r="L61" s="114" t="s">
        <v>112</v>
      </c>
      <c r="M61" s="197">
        <v>16.367000000000001</v>
      </c>
      <c r="N61" s="197">
        <v>0</v>
      </c>
      <c r="O61" s="198">
        <v>0.9</v>
      </c>
      <c r="P61" s="61">
        <f t="shared" ref="P61" si="39">M61-N61</f>
        <v>16.367000000000001</v>
      </c>
      <c r="Q61" s="98">
        <f>IFERROR(((M61-N61*POWER(O61,AD32)-(P61))),0)</f>
        <v>0</v>
      </c>
      <c r="R61" s="98">
        <f>Q61*1000</f>
        <v>0</v>
      </c>
      <c r="S61" s="104">
        <f>R61*N32*M32</f>
        <v>0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113</v>
      </c>
      <c r="C62" s="208">
        <f>V98</f>
        <v>4499908.3701947322</v>
      </c>
      <c r="D62" s="209"/>
      <c r="E62" s="38"/>
      <c r="F62" s="38"/>
      <c r="G62" s="38"/>
      <c r="H62" s="38"/>
      <c r="I62" s="38"/>
      <c r="J62" s="38"/>
      <c r="K62" s="38"/>
      <c r="L62" s="165" t="s">
        <v>114</v>
      </c>
      <c r="M62" s="197">
        <v>20.283412766368777</v>
      </c>
      <c r="N62" s="197">
        <v>2.0056349885909981</v>
      </c>
      <c r="O62" s="198">
        <v>0.91</v>
      </c>
      <c r="P62" s="148">
        <f t="shared" ref="P62" si="40">M62-N62</f>
        <v>18.277777777777779</v>
      </c>
      <c r="Q62" s="149">
        <f>IFERROR(((M62-N62*POWER(O62,AE32)-(P62))),0)</f>
        <v>1.8192974149589922</v>
      </c>
      <c r="R62" s="149">
        <f t="shared" ref="R62" si="41">Q62*1000</f>
        <v>1819.2974149589922</v>
      </c>
      <c r="S62" s="150">
        <f>R62*N32*M32</f>
        <v>727718.96598359686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115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116</v>
      </c>
      <c r="M64" s="197">
        <v>3.151752507117159</v>
      </c>
      <c r="N64" s="197">
        <v>1.3992525071171591</v>
      </c>
      <c r="O64" s="198">
        <v>0.95299999999999996</v>
      </c>
      <c r="P64" s="61">
        <f t="shared" ref="P64:P67" si="44">M64-N64</f>
        <v>1.7524999999999999</v>
      </c>
      <c r="Q64" s="98">
        <f>IFERROR((M64-N64*POWER(O64,AC33)-(P64)),0)</f>
        <v>0.76707250566953844</v>
      </c>
      <c r="R64" s="98">
        <f>Q64*1000</f>
        <v>767.07250566953849</v>
      </c>
      <c r="S64" s="104">
        <f>R64*$N$33*$M$33</f>
        <v>230121.75170086155</v>
      </c>
      <c r="T64" s="116">
        <f>S64+S65+S66+S67</f>
        <v>481912.86772231321</v>
      </c>
      <c r="U64" s="116">
        <f>T47</f>
        <v>84928.413832286649</v>
      </c>
      <c r="V64" s="116">
        <f>T64-U64</f>
        <v>396984.45389002655</v>
      </c>
      <c r="W64" s="103">
        <f>R64+R65+R66+R67</f>
        <v>1606.3762257410438</v>
      </c>
      <c r="X64" s="60">
        <f>IF(OR(M33=0,M33=1),$V$64,IF(M33&lt;1,$V$64/M33,IF(M33&gt;1,$V$64/M33,0)))</f>
        <v>793968.90778005309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117</v>
      </c>
      <c r="M65" s="197">
        <v>3.1989999999999998</v>
      </c>
      <c r="N65" s="197">
        <v>1.3019999999999998</v>
      </c>
      <c r="O65" s="198">
        <v>0.89200000000000002</v>
      </c>
      <c r="P65" s="61">
        <f t="shared" si="44"/>
        <v>1.897</v>
      </c>
      <c r="Q65" s="149">
        <f>IFERROR(((M65-N65*POWER(O65,AD33)-(P65))),0)</f>
        <v>0.82955282345130477</v>
      </c>
      <c r="R65" s="98">
        <f t="shared" ref="R65:R67" si="45">Q65*1000</f>
        <v>829.55282345130479</v>
      </c>
      <c r="S65" s="104">
        <f t="shared" ref="S65:S67" si="46">R65*$N$33*$M$33</f>
        <v>248865.84703539143</v>
      </c>
      <c r="T65" s="116"/>
      <c r="U65" s="116"/>
      <c r="V65" s="116"/>
      <c r="W65" s="103"/>
      <c r="X65" s="60"/>
      <c r="AJ65" s="38"/>
      <c r="AK65" s="38"/>
    </row>
    <row r="66" spans="1:37" ht="14.5" x14ac:dyDescent="0.35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118</v>
      </c>
      <c r="M66" s="199">
        <v>3.8298006513866079</v>
      </c>
      <c r="N66" s="199">
        <v>0.24980065138660779</v>
      </c>
      <c r="O66">
        <v>0.90700000000000003</v>
      </c>
      <c r="P66" s="61">
        <f t="shared" si="44"/>
        <v>3.58</v>
      </c>
      <c r="Q66" s="98">
        <f>IFERROR(((M66-N66*POWER(O66,AE33)-(P66))),0)</f>
        <v>9.7508966202006775E-3</v>
      </c>
      <c r="R66" s="98">
        <f t="shared" si="45"/>
        <v>9.7508966202006775</v>
      </c>
      <c r="S66" s="104">
        <f t="shared" si="46"/>
        <v>2925.2689860602031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119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x14ac:dyDescent="0.3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0" t="s">
        <v>120</v>
      </c>
      <c r="M68" s="197">
        <v>24.084258539401535</v>
      </c>
      <c r="N68" s="197">
        <v>2.4257585394015351</v>
      </c>
      <c r="O68" s="198">
        <v>0.98599999999999999</v>
      </c>
      <c r="P68" s="148">
        <f t="shared" ref="P68:P71" si="47">M68-N68</f>
        <v>21.6585</v>
      </c>
      <c r="Q68" s="149">
        <f>IFERROR((M68-N68*POWER(O68,AC34)-(P68)),0)</f>
        <v>0</v>
      </c>
      <c r="R68" s="98">
        <f t="shared" ref="R68:R71" si="48">Q68*1000</f>
        <v>0</v>
      </c>
      <c r="S68" s="104">
        <f>R68*$N$34*$M$34</f>
        <v>0</v>
      </c>
      <c r="T68" s="116">
        <f>S68+S69+S70+S71</f>
        <v>182961.89543119379</v>
      </c>
      <c r="U68" s="116">
        <f>T48</f>
        <v>29344.347296876051</v>
      </c>
      <c r="V68" s="116">
        <f>T68-U68</f>
        <v>153617.54813431774</v>
      </c>
      <c r="W68" s="103">
        <f>R68+R69+R70+R71</f>
        <v>731.84758172477518</v>
      </c>
      <c r="X68" s="60">
        <f>IF(OR(M34=0,M34=1),$V$68,IF(M34&lt;1,$V$68/M34,IF(M34&gt;1,$V$68/M34,0)))</f>
        <v>307235.09626863548</v>
      </c>
      <c r="AJ68" s="38"/>
      <c r="AK68" s="38"/>
    </row>
    <row r="69" spans="1:37" ht="46.5" customHeight="1" x14ac:dyDescent="0.35">
      <c r="A69" s="38"/>
      <c r="B69" s="204" t="s">
        <v>121</v>
      </c>
      <c r="C69" s="204"/>
      <c r="D69" s="204"/>
      <c r="E69" s="204"/>
      <c r="F69" s="204"/>
      <c r="G69" s="204"/>
      <c r="H69" s="204"/>
      <c r="I69" s="204"/>
      <c r="J69" s="24"/>
      <c r="K69" s="24"/>
      <c r="L69" s="52" t="s">
        <v>122</v>
      </c>
      <c r="M69" s="199"/>
      <c r="N69" s="199"/>
      <c r="O69"/>
      <c r="P69" s="148">
        <f t="shared" si="47"/>
        <v>0</v>
      </c>
      <c r="Q69" s="149">
        <f>IFERROR(((M69-N69*POWER(O69,AD34)-(P69))),0)</f>
        <v>0</v>
      </c>
      <c r="R69" s="149">
        <f t="shared" si="48"/>
        <v>0</v>
      </c>
      <c r="S69" s="104">
        <f t="shared" ref="S69:S71" si="49">R69*$N$34*$M$34</f>
        <v>0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14" t="s">
        <v>123</v>
      </c>
      <c r="M70" s="197">
        <v>25.126177103010466</v>
      </c>
      <c r="N70" s="197">
        <v>1.119510436343802</v>
      </c>
      <c r="O70" s="198">
        <v>0.93</v>
      </c>
      <c r="P70" s="148">
        <f t="shared" si="47"/>
        <v>24.006666666666664</v>
      </c>
      <c r="Q70" s="149">
        <f>IFERROR(((M70-N70*POWER(O70,AE34)-(P70))),0)</f>
        <v>0.73184758172477515</v>
      </c>
      <c r="R70" s="149">
        <f t="shared" si="48"/>
        <v>731.84758172477518</v>
      </c>
      <c r="S70" s="104">
        <f t="shared" si="49"/>
        <v>182961.89543119379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04" t="s">
        <v>124</v>
      </c>
      <c r="C71" s="204"/>
      <c r="D71" s="204"/>
      <c r="E71" s="204"/>
      <c r="F71" s="204"/>
      <c r="G71" s="204"/>
      <c r="H71" s="204"/>
      <c r="I71" s="204"/>
      <c r="J71" s="24"/>
      <c r="K71" s="24"/>
      <c r="L71" s="114" t="s">
        <v>125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126</v>
      </c>
      <c r="M72" s="115">
        <v>0</v>
      </c>
      <c r="N72" s="115">
        <v>0</v>
      </c>
      <c r="O72" s="115">
        <v>0</v>
      </c>
      <c r="P72" s="148">
        <f t="shared" ref="P72:P74" si="50">M72-N72</f>
        <v>0</v>
      </c>
      <c r="Q72" s="149">
        <f>IFERROR((M72-N72*POWER(O72,AC35)-(P72)),0)</f>
        <v>0</v>
      </c>
      <c r="R72" s="149">
        <f t="shared" ref="R72:R74" si="51">Q72*1000</f>
        <v>0</v>
      </c>
      <c r="S72" s="150">
        <f>R72*$N$35*$M$35</f>
        <v>0</v>
      </c>
      <c r="T72" s="151">
        <f>S72+S73+S74+S75</f>
        <v>835291.51564737316</v>
      </c>
      <c r="U72" s="151">
        <f>T49</f>
        <v>93814.088777722034</v>
      </c>
      <c r="V72" s="151">
        <f>T72-U72</f>
        <v>741477.42686965107</v>
      </c>
      <c r="W72" s="103">
        <f>R72+R73+R74+R75</f>
        <v>1392.1525260789554</v>
      </c>
      <c r="X72" s="147">
        <f>IF(OR(M35=0,M35=1),$V$72,IF(M35&lt;1,$V$72/M35,IF(M35&gt;1,$V$72/M35,0)))</f>
        <v>1482954.8537393021</v>
      </c>
      <c r="AJ72" s="38"/>
      <c r="AK72" s="38"/>
    </row>
    <row r="73" spans="1:37" ht="47.25" customHeight="1" x14ac:dyDescent="0.35">
      <c r="A73" s="38"/>
      <c r="B73" s="204" t="s">
        <v>127</v>
      </c>
      <c r="C73" s="204"/>
      <c r="D73" s="204"/>
      <c r="E73" s="204"/>
      <c r="F73" s="204"/>
      <c r="G73" s="204"/>
      <c r="H73" s="204"/>
      <c r="I73" s="204"/>
      <c r="J73" s="24"/>
      <c r="K73" s="24"/>
      <c r="L73" s="192" t="s">
        <v>128</v>
      </c>
      <c r="M73" s="197">
        <v>2.2290287502264361</v>
      </c>
      <c r="N73" s="197">
        <v>1.4035287502264362</v>
      </c>
      <c r="O73" s="198">
        <v>0.86599999999999999</v>
      </c>
      <c r="P73" s="148">
        <f t="shared" si="50"/>
        <v>0.8254999999999999</v>
      </c>
      <c r="Q73" s="149">
        <f>IFERROR(((M73-N73*POWER(O73,AD35)-(P73))),0)</f>
        <v>1.1615219308668723</v>
      </c>
      <c r="R73" s="149">
        <f t="shared" si="51"/>
        <v>1161.5219308668723</v>
      </c>
      <c r="S73" s="150">
        <f t="shared" ref="S73:S75" si="52">R73*$N$35*$M$35</f>
        <v>696913.15852012334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52" t="s">
        <v>129</v>
      </c>
      <c r="M74" s="197">
        <v>2.1951694888351283</v>
      </c>
      <c r="N74" s="197">
        <v>0.3351694888351282</v>
      </c>
      <c r="O74" s="198">
        <v>0.89400000000000002</v>
      </c>
      <c r="P74" s="61">
        <f t="shared" si="50"/>
        <v>1.86</v>
      </c>
      <c r="Q74" s="98">
        <f>IFERROR(((M74-N74*POWER(O74,AE35)-(P74))),0)</f>
        <v>0.23063059521208307</v>
      </c>
      <c r="R74" s="98">
        <f t="shared" si="51"/>
        <v>230.63059521208308</v>
      </c>
      <c r="S74" s="150">
        <f t="shared" si="52"/>
        <v>138378.35712724985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04" t="s">
        <v>130</v>
      </c>
      <c r="C75" s="204"/>
      <c r="D75" s="204"/>
      <c r="E75" s="204"/>
      <c r="F75" s="204"/>
      <c r="G75" s="204"/>
      <c r="H75" s="204"/>
      <c r="I75" s="204"/>
      <c r="J75" s="38"/>
      <c r="K75" s="38"/>
      <c r="L75" s="114" t="s">
        <v>131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132</v>
      </c>
      <c r="M76" s="197">
        <v>2.1420699383171682</v>
      </c>
      <c r="N76" s="197">
        <v>1.0168007075479375</v>
      </c>
      <c r="O76" s="198">
        <v>0.96399999999999997</v>
      </c>
      <c r="P76" s="153">
        <f>M76-N76</f>
        <v>1.1252692307692307</v>
      </c>
      <c r="Q76" s="154">
        <f>IFERROR((M76-N76*POWER(O76,AC36)-(P76)),0)</f>
        <v>0.66100503670574451</v>
      </c>
      <c r="R76" s="154">
        <f>Q76*1000</f>
        <v>661.00503670574449</v>
      </c>
      <c r="S76" s="155">
        <f>R76*$N$36*$M$36</f>
        <v>462703.52569402114</v>
      </c>
      <c r="T76" s="156">
        <f>S76+S77+S78+S79</f>
        <v>800072.04076164169</v>
      </c>
      <c r="U76" s="156">
        <f>T50</f>
        <v>118469.36707242572</v>
      </c>
      <c r="V76" s="156">
        <f>T76-U76</f>
        <v>681602.67368921591</v>
      </c>
      <c r="W76" s="157">
        <f>R76+R77+R78+R79</f>
        <v>1142.9600582309167</v>
      </c>
      <c r="X76" s="158">
        <f>IF(OR(M36=0,M36=1),$V$76,IF(M36&lt;1,$V$76/M36,IF(M36&gt;1,$V$76/M36,0)))</f>
        <v>1363205.3473784318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52" t="s">
        <v>133</v>
      </c>
      <c r="M77" s="197">
        <v>2.2473954298997465</v>
      </c>
      <c r="N77" s="197">
        <v>0.43389542989974639</v>
      </c>
      <c r="O77" s="198">
        <v>0.78600000000000003</v>
      </c>
      <c r="P77" s="106">
        <f t="shared" ref="P77" si="53">M77-N77</f>
        <v>1.8135000000000001</v>
      </c>
      <c r="Q77" s="159">
        <f>IFERROR(((M77-N77*POWER(O77,AD36)-(P77))),0)</f>
        <v>0.33776609505192368</v>
      </c>
      <c r="R77" s="159">
        <f t="shared" ref="R77:R79" si="54">Q77*1000</f>
        <v>337.76609505192368</v>
      </c>
      <c r="S77" s="155">
        <f t="shared" ref="S77:S79" si="55">R77*$N$36*$M$36</f>
        <v>236436.26653634658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166" t="s">
        <v>134</v>
      </c>
      <c r="M78" s="197">
        <v>2.4269309997561854</v>
      </c>
      <c r="N78" s="197">
        <v>0.20509766642285232</v>
      </c>
      <c r="O78" s="198">
        <v>0.84799999999999998</v>
      </c>
      <c r="P78" s="106">
        <f>M78-N78</f>
        <v>2.2218333333333331</v>
      </c>
      <c r="Q78" s="106">
        <f>IFERROR(((M78-N78*POWER(O78,AE36)-(P78))),0)</f>
        <v>0.14418892647324855</v>
      </c>
      <c r="R78" s="159">
        <f t="shared" si="54"/>
        <v>144.18892647324856</v>
      </c>
      <c r="S78" s="155">
        <f t="shared" si="55"/>
        <v>100932.24853127399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166" t="s">
        <v>135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136</v>
      </c>
      <c r="M80" s="197">
        <v>0.98586563087813339</v>
      </c>
      <c r="N80" s="197">
        <v>0.36086563087813339</v>
      </c>
      <c r="O80" s="198">
        <v>0.82599999999999996</v>
      </c>
      <c r="P80" s="106">
        <f>M80-N80</f>
        <v>0.625</v>
      </c>
      <c r="Q80" s="106">
        <f>IFERROR((M80-N80*POWER(O80,AC37)-(P80)),0)</f>
        <v>0.29714946248661678</v>
      </c>
      <c r="R80" s="159">
        <f t="shared" ref="R80:R82" si="56">Q80*1000</f>
        <v>297.14946248661676</v>
      </c>
      <c r="S80" s="106">
        <f>R80*$N$37*$M$37</f>
        <v>222862.09686496257</v>
      </c>
      <c r="T80" s="106">
        <f>S80+S81+S82+S83</f>
        <v>261160.58859771042</v>
      </c>
      <c r="U80" s="160">
        <f>T51</f>
        <v>31723.309330215419</v>
      </c>
      <c r="V80" s="106">
        <f>T80-U80</f>
        <v>229437.279267495</v>
      </c>
      <c r="W80" s="159">
        <f>R80+R81+R82+R83</f>
        <v>348.21411813028055</v>
      </c>
      <c r="X80" s="106">
        <f>IF(OR(M37=0,M37=1),$V$80,IF(M37&lt;1,$V$80/M37,IF(M37&gt;1,$V$80/M37,0)))</f>
        <v>458874.55853499001</v>
      </c>
    </row>
    <row r="81" spans="9:24" x14ac:dyDescent="0.3">
      <c r="L81" s="52" t="s">
        <v>137</v>
      </c>
      <c r="M81" s="197">
        <v>1.1447985364218292</v>
      </c>
      <c r="N81" s="197">
        <v>0.1222985364218292</v>
      </c>
      <c r="O81" s="198">
        <v>0.89900000000000002</v>
      </c>
      <c r="P81" s="152">
        <f t="shared" ref="P81" si="57">M81-N81</f>
        <v>1.0225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x14ac:dyDescent="0.3">
      <c r="L82" s="166" t="s">
        <v>138</v>
      </c>
      <c r="M82" s="197">
        <v>1.4002271097719767</v>
      </c>
      <c r="N82" s="197">
        <v>0.11572710977197675</v>
      </c>
      <c r="O82" s="198">
        <v>0.86499999999999999</v>
      </c>
      <c r="P82" s="106">
        <f>M82-N82</f>
        <v>1.2845</v>
      </c>
      <c r="Q82" s="106">
        <f>IFERROR(((M82-N82*POWER(O82,AE37)-(P82))),0)</f>
        <v>5.1064655643663803E-2</v>
      </c>
      <c r="R82" s="159">
        <f t="shared" si="56"/>
        <v>51.064655643663805</v>
      </c>
      <c r="S82" s="106">
        <f t="shared" si="58"/>
        <v>38298.491732747854</v>
      </c>
      <c r="T82" s="163"/>
      <c r="U82" s="163"/>
      <c r="V82" s="163"/>
      <c r="W82" s="160"/>
      <c r="X82" s="160"/>
    </row>
    <row r="83" spans="9:24" ht="15.5" x14ac:dyDescent="0.3">
      <c r="L83" s="166" t="s">
        <v>139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140</v>
      </c>
      <c r="M84" s="199"/>
      <c r="N84" s="199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169192.1933119219</v>
      </c>
      <c r="U84" s="163">
        <f>T52</f>
        <v>16920.089147523111</v>
      </c>
      <c r="V84" s="163">
        <f>T84-U84</f>
        <v>152272.1041643988</v>
      </c>
      <c r="W84" s="160">
        <f>R84+R85+R86+R87</f>
        <v>140.99349442660159</v>
      </c>
      <c r="X84" s="160">
        <f>IF(OR(M38=0,M38=1),$V$84,IF(M38&lt;1,$V$84/M38,IF(M38&gt;1,$V$84/M38,0)))</f>
        <v>304544.2083287976</v>
      </c>
    </row>
    <row r="85" spans="9:24" x14ac:dyDescent="0.3">
      <c r="L85" s="191" t="s">
        <v>141</v>
      </c>
      <c r="M85" s="197">
        <v>1.2113840957605975</v>
      </c>
      <c r="N85" s="197">
        <v>0.16738409576059743</v>
      </c>
      <c r="O85" s="198">
        <v>0.92800000000000005</v>
      </c>
      <c r="P85" s="106">
        <f t="shared" ref="P85:P87" si="59">M85-N85</f>
        <v>1.044</v>
      </c>
      <c r="Q85" s="152">
        <f>IFERROR(((M85-N85*POWER(O85,AD38)-(P85))),0)</f>
        <v>0</v>
      </c>
      <c r="R85" s="159">
        <f t="shared" ref="R85:R87" si="60">Q85*1000</f>
        <v>0</v>
      </c>
      <c r="S85" s="106">
        <f t="shared" ref="S85:S87" si="61">R85*$N$38*$M$38</f>
        <v>0</v>
      </c>
      <c r="T85" s="152"/>
      <c r="U85" s="152"/>
      <c r="V85" s="152"/>
      <c r="W85" s="152"/>
      <c r="X85" s="152"/>
    </row>
    <row r="86" spans="9:24" x14ac:dyDescent="0.3">
      <c r="L86" s="52" t="s">
        <v>142</v>
      </c>
      <c r="M86" s="197">
        <v>1.4170042773009295</v>
      </c>
      <c r="N86" s="197">
        <v>0.16800427730092959</v>
      </c>
      <c r="O86" s="198">
        <v>0.80500000000000005</v>
      </c>
      <c r="P86" s="106">
        <f>M86-N86</f>
        <v>1.2489999999999999</v>
      </c>
      <c r="Q86" s="152">
        <f>IFERROR(((M86-N86*POWER(O86,AE38)-(P86))),0)</f>
        <v>0.14099349442660158</v>
      </c>
      <c r="R86" s="159">
        <f t="shared" si="60"/>
        <v>140.99349442660159</v>
      </c>
      <c r="S86" s="106">
        <f t="shared" si="61"/>
        <v>169192.1933119219</v>
      </c>
      <c r="T86" s="152"/>
      <c r="U86" s="152"/>
      <c r="V86" s="152"/>
      <c r="W86" s="164"/>
      <c r="X86" s="152"/>
    </row>
    <row r="87" spans="9:24" x14ac:dyDescent="0.3">
      <c r="L87" s="114" t="s">
        <v>143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144</v>
      </c>
      <c r="U96" s="61"/>
      <c r="V96" s="61"/>
    </row>
    <row r="97" spans="20:22" x14ac:dyDescent="0.3">
      <c r="T97" s="61" t="s">
        <v>145</v>
      </c>
      <c r="U97" s="61" t="s">
        <v>146</v>
      </c>
      <c r="V97" s="61" t="s">
        <v>147</v>
      </c>
    </row>
    <row r="98" spans="20:22" x14ac:dyDescent="0.3">
      <c r="T98" s="116">
        <f>SUM(T60:T87)</f>
        <v>4999908.3701947322</v>
      </c>
      <c r="U98" s="116">
        <f>SUM(U60:U87)</f>
        <v>500000</v>
      </c>
      <c r="V98" s="116">
        <f>SUM(V60:V87)</f>
        <v>4499908.3701947322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EA418D-FE64-4495-98C2-6BF99623043A}">
  <ds:schemaRefs>
    <ds:schemaRef ds:uri="http://schemas.microsoft.com/office/2006/metadata/properties"/>
    <ds:schemaRef ds:uri="cfcaa660-3182-4f27-8fa7-16736e9283fd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6a2a5ef5-46a6-42c7-b9b9-d957781a30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6BCAA0-77F7-4F09-B2F3-820550042B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D84C3-43F4-4362-9348-E01C840F8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