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45D62DAD-3E09-4136-86B7-BDBD2310819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<sst xmlns="http://schemas.openxmlformats.org/spreadsheetml/2006/main" count="154" uniqueCount="134">
  <si>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</si>
  <si>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</si>
  <si>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</si>
  <si>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</si>
  <si>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</si>
  <si>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</si>
  <si>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</si>
  <si>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</si>
  <si>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</si>
  <si>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</si>
  <si>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</si>
  <si>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</si>
  <si>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</si>
  <si>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</si>
  <si>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</si>
  <si>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</si>
  <si>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</si>
  <si>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</si>
  <si>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</si>
  <si>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</si>
  <si>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</si>
  <si>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</si>
  <si>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</si>
  <si>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</si>
  <si>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</si>
  <si>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</si>
  <si>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</si>
  <si>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</si>
  <si>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</si>
  <si>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</si>
  <si>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</si>
  <si>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</si>
  <si>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</si>
  <si>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</si>
  <si>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</si>
  <si>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</si>
  <si>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</si>
  <si>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</si>
  <si>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</si>
  <si>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</si>
  <si>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</si>
  <si>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</si>
  <si>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</si>
  <si>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</si>
  <si>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</si>
  <si>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</si>
  <si>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</si>
  <si>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</si>
  <si>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</si>
  <si>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</si>
  <si>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</si>
  <si>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</si>
  <si>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</si>
  <si>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</si>
  <si>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</si>
  <si>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</si>
  <si>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</si>
  <si>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</si>
  <si>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</si>
  <si>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</si>
  <si>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</si>
  <si>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</si>
  <si>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</si>
  <si>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</si>
  <si>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</si>
  <si>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</si>
  <si>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</si>
  <si>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</si>
  <si>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</si>
  <si>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</si>
  <si>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</si>
  <si>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</si>
  <si>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</si>
  <si>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</si>
  <si>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</si>
  <si>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</si>
  <si>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</si>
  <si>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</si>
  <si>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</si>
  <si>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</si>
  <si>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</si>
  <si>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</si>
  <si>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</si>
  <si>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</si>
  <si>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</si>
  <si>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</si>
  <si>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</si>
  <si>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</si>
  <si>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</si>
  <si>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</si>
  <si>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</si>
  <si>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</si>
  <si>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</si>
  <si>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</si>
  <si>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</si>
  <si>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</si>
  <si>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</si>
  <si>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</si>
  <si>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</si>
  <si>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</si>
  <si>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</si>
  <si>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</si>
  <si>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</si>
  <si>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</si>
  <si>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</si>
  <si>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</si>
  <si>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</si>
  <si>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</si>
  <si>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</si>
  <si>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</si>
  <si>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</si>
  <si>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</si>
  <si>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</si>
  <si>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</si>
  <si>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NPK</t>
  </si>
  <si>
    <t xml:space="preserve">Beans N </t>
  </si>
  <si>
    <t>Beans P</t>
  </si>
  <si>
    <t>Bean K</t>
  </si>
  <si>
    <t>Bean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</si>
  <si>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</si>
  <si>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</si>
  <si>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</si>
  <si>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Irish potato N</t>
  </si>
  <si>
    <t>Irish potato P</t>
  </si>
  <si>
    <t>Irish potato K</t>
  </si>
  <si>
    <t>Irish potato Zn</t>
  </si>
  <si>
    <t>Wheat N</t>
  </si>
  <si>
    <t xml:space="preserve">Wheat P </t>
  </si>
  <si>
    <t>Wheat K</t>
  </si>
  <si>
    <t>Wheat Zn</t>
  </si>
  <si>
    <t>Wheat</t>
  </si>
  <si>
    <t>Irish potato</t>
  </si>
  <si>
    <t xml:space="preserve">Eastern Uganda: Above 1800 m asl </t>
  </si>
  <si>
    <t>(Kapchorwa Farmlands - Forest)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</si>
</sst>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3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2" fontId="23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3" fillId="0" borderId="13" xfId="0" applyFont="1" applyBorder="1" applyAlignment="1">
      <alignment horizontal="center"/>
    </xf>
    <xf numFmtId="0" fontId="16" fillId="2" borderId="13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right" vertical="center"/>
    </xf>
    <xf numFmtId="0" fontId="13" fillId="2" borderId="13" xfId="0" applyFont="1" applyFill="1" applyBorder="1"/>
    <xf numFmtId="0" fontId="13" fillId="0" borderId="13" xfId="0" applyFont="1" applyBorder="1"/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296333</xdr:colOff>
      <xdr:row>4</xdr:row>
      <xdr:rowOff>58846</xdr:rowOff>
    </xdr:from>
    <xdr:to>
      <xdr:col>9</xdr:col>
      <xdr:colOff>994833</xdr:colOff>
      <xdr:row>8</xdr:row>
      <xdr:rowOff>123847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083" y="1096013"/>
          <a:ext cx="2190750" cy="101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359834</xdr:colOff>
      <xdr:row>1</xdr:row>
      <xdr:rowOff>137583</xdr:rowOff>
    </xdr:from>
    <xdr:to>
      <xdr:col>9</xdr:col>
      <xdr:colOff>667809</xdr:colOff>
      <xdr:row>3</xdr:row>
      <xdr:rowOff>314325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3584" y="317500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1" t="s">
        <v>132</v>
      </c>
      <c r="E3" s="191"/>
      <c r="F3" s="192"/>
      <c r="G3" s="192"/>
      <c r="H3" s="95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1" t="s">
        <v>133</v>
      </c>
      <c r="E4" s="191"/>
      <c r="F4" s="191"/>
      <c r="G4" s="191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3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06" t="s">
        <v>83</v>
      </c>
      <c r="D10" s="206"/>
      <c r="E10" s="10"/>
      <c r="F10" s="10"/>
      <c r="G10" s="38"/>
      <c r="H10" s="38"/>
      <c r="I10" s="38"/>
      <c r="J10" s="38"/>
      <c r="K10" s="38"/>
      <c r="N10" s="193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06" t="s">
        <v>83</v>
      </c>
      <c r="D11" s="206"/>
      <c r="E11" s="15"/>
      <c r="F11" s="15"/>
      <c r="G11" s="38"/>
      <c r="H11" s="38"/>
      <c r="I11" s="38"/>
      <c r="J11" s="38"/>
      <c r="K11" s="38"/>
      <c r="N11" s="193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07">
        <f ca="1">TODAY()</f>
        <v>46028</v>
      </c>
      <c r="D12" s="207"/>
      <c r="E12" s="16"/>
      <c r="F12" s="16"/>
      <c r="G12" s="38"/>
      <c r="H12" s="38"/>
      <c r="I12" s="38"/>
      <c r="J12" s="38"/>
      <c r="K12" s="38"/>
      <c r="N12" s="193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4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5" t="s">
        <v>4</v>
      </c>
      <c r="C14" s="216"/>
      <c r="D14" s="217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107</v>
      </c>
      <c r="C16" s="80">
        <v>0.5</v>
      </c>
      <c r="D16" s="80">
        <v>600</v>
      </c>
      <c r="E16" s="16"/>
      <c r="F16" s="16"/>
      <c r="G16" s="38"/>
      <c r="H16" s="38"/>
      <c r="I16" s="38"/>
      <c r="J16" s="38"/>
      <c r="K16" s="38"/>
      <c r="N16" s="212" t="s">
        <v>29</v>
      </c>
      <c r="O16" s="213"/>
      <c r="P16" s="213"/>
      <c r="Q16" s="213"/>
      <c r="R16" s="213"/>
      <c r="S16" s="213"/>
      <c r="T16" s="213"/>
      <c r="U16" s="213"/>
      <c r="V16" s="213"/>
      <c r="W16" s="213"/>
      <c r="X16" s="228"/>
      <c r="Y16" s="212" t="s">
        <v>112</v>
      </c>
      <c r="Z16" s="213"/>
      <c r="AA16" s="213"/>
      <c r="AB16" s="228"/>
      <c r="AJ16" s="38"/>
      <c r="AK16" s="38"/>
    </row>
    <row r="17" spans="1:37" ht="17.5" x14ac:dyDescent="0.35">
      <c r="A17" s="38"/>
      <c r="B17" s="4" t="s">
        <v>113</v>
      </c>
      <c r="C17" s="80">
        <v>0.5</v>
      </c>
      <c r="D17" s="80">
        <v>1500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131</v>
      </c>
      <c r="C18" s="80">
        <v>0.5</v>
      </c>
      <c r="D18" s="80">
        <v>1000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Maize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130</v>
      </c>
      <c r="C19" s="80">
        <v>0.5</v>
      </c>
      <c r="D19" s="80">
        <v>1800</v>
      </c>
      <c r="E19" s="16"/>
      <c r="F19" s="16"/>
      <c r="G19" s="38"/>
      <c r="H19" s="38"/>
      <c r="I19" s="38"/>
      <c r="J19" s="38"/>
      <c r="K19" s="38"/>
      <c r="N19" s="126" t="str">
        <f t="shared" si="1"/>
        <v>Bean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/>
      <c r="C20" s="80">
        <v>0</v>
      </c>
      <c r="D20" s="80">
        <v>0</v>
      </c>
      <c r="E20" s="16"/>
      <c r="F20" s="16"/>
      <c r="G20" s="38"/>
      <c r="H20" s="38"/>
      <c r="I20" s="38"/>
      <c r="J20" s="38"/>
      <c r="K20" s="38"/>
      <c r="N20" s="126" t="str">
        <f t="shared" si="1"/>
        <v>Irish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/>
      <c r="C21" s="80">
        <v>0</v>
      </c>
      <c r="D21" s="80">
        <v>0</v>
      </c>
      <c r="E21" s="16"/>
      <c r="F21" s="16"/>
      <c r="G21" s="38"/>
      <c r="H21" s="38"/>
      <c r="I21" s="38"/>
      <c r="J21" s="38"/>
      <c r="K21" s="38"/>
      <c r="N21" s="126" t="str">
        <f t="shared" si="1"/>
        <v>Wheat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/>
      <c r="C22" s="80">
        <v>0</v>
      </c>
      <c r="D22" s="190">
        <v>0</v>
      </c>
      <c r="E22" s="38"/>
      <c r="F22" s="38"/>
      <c r="G22" s="38"/>
      <c r="H22" s="38"/>
      <c r="I22" s="38"/>
      <c r="J22" s="38"/>
      <c r="K22" s="38"/>
      <c r="N22" s="126">
        <f t="shared" si="1"/>
        <v>0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2</v>
      </c>
      <c r="D23" s="96"/>
      <c r="E23" s="16"/>
      <c r="F23" s="16"/>
      <c r="G23" s="38"/>
      <c r="H23" s="38"/>
      <c r="I23" s="38"/>
      <c r="J23" s="38"/>
      <c r="K23" s="38"/>
      <c r="N23" s="126">
        <f t="shared" si="1"/>
        <v>0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08" t="s">
        <v>7</v>
      </c>
      <c r="C24" s="209"/>
      <c r="D24" s="209"/>
      <c r="E24" s="209"/>
      <c r="F24" s="209"/>
      <c r="G24" s="210"/>
      <c r="H24" s="38"/>
      <c r="I24" s="38"/>
      <c r="J24" s="38"/>
      <c r="K24" s="38"/>
      <c r="N24" s="126">
        <f t="shared" si="1"/>
        <v>0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114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12" t="s">
        <v>31</v>
      </c>
      <c r="M30" s="213"/>
      <c r="N30" s="228"/>
      <c r="O30" s="235" t="s">
        <v>79</v>
      </c>
      <c r="P30" s="236"/>
      <c r="Q30" s="236"/>
      <c r="R30" s="236"/>
      <c r="S30" s="214"/>
      <c r="T30" s="229" t="s">
        <v>30</v>
      </c>
      <c r="U30" s="229"/>
      <c r="V30" s="229"/>
      <c r="W30" s="229"/>
      <c r="X30" s="229"/>
      <c r="Y30" s="229"/>
      <c r="Z30" s="229"/>
      <c r="AA30" s="229"/>
      <c r="AB30" s="229"/>
      <c r="AC30" s="229" t="s">
        <v>61</v>
      </c>
      <c r="AD30" s="229"/>
      <c r="AE30" s="229"/>
      <c r="AF30" s="229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Maize</v>
      </c>
      <c r="M32" s="45">
        <f t="shared" si="7"/>
        <v>0.5</v>
      </c>
      <c r="N32" s="42">
        <f t="shared" ref="N32:N38" si="8">IF(D16&lt;=0,0,D16)</f>
        <v>600</v>
      </c>
      <c r="O32" s="64">
        <v>51.916622755742175</v>
      </c>
      <c r="P32" s="65">
        <v>0</v>
      </c>
      <c r="Q32" s="65">
        <v>70.07560719150446</v>
      </c>
      <c r="R32" s="65">
        <v>8.286239585773183</v>
      </c>
      <c r="S32" s="65">
        <v>0</v>
      </c>
      <c r="T32" s="66">
        <f t="shared" ref="T32:T38" si="9">IF(M32&lt;=0,0,O32*$Q$9)</f>
        <v>23.881646467641403</v>
      </c>
      <c r="U32" s="67">
        <f>IF(M32&lt;=0,0,P32*$R$10)</f>
        <v>0</v>
      </c>
      <c r="V32" s="67">
        <f>IF(M32&lt;=0,0,Q32*$Q$11)</f>
        <v>12.613609294470802</v>
      </c>
      <c r="W32" s="67">
        <f>IF(M32&lt;=0,0,Q32*$R$11)</f>
        <v>14.086598557636227</v>
      </c>
      <c r="X32" s="67">
        <f>IF(M32&lt;=0,0,R32*$S$12)</f>
        <v>4.1265473137150446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36.495255762112208</v>
      </c>
      <c r="AD32" s="99">
        <f>U32+W32+Z32</f>
        <v>14.086598557636227</v>
      </c>
      <c r="AE32" s="107">
        <f>X32+AA32</f>
        <v>4.1265473137150446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08" t="s">
        <v>10</v>
      </c>
      <c r="C33" s="210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Bean</v>
      </c>
      <c r="M33" s="48">
        <f t="shared" si="7"/>
        <v>0.5</v>
      </c>
      <c r="N33" s="69">
        <f t="shared" si="8"/>
        <v>1500</v>
      </c>
      <c r="O33" s="64">
        <v>36.273027404110543</v>
      </c>
      <c r="P33" s="65">
        <v>0</v>
      </c>
      <c r="Q33" s="65">
        <v>41.307338819789791</v>
      </c>
      <c r="R33" s="65">
        <v>0</v>
      </c>
      <c r="S33" s="65">
        <v>0</v>
      </c>
      <c r="T33" s="66">
        <f t="shared" si="9"/>
        <v>16.68559260589085</v>
      </c>
      <c r="U33" s="67">
        <f t="shared" ref="U33:U37" si="13">IF(M33&lt;=0,0,P33*$R$10)</f>
        <v>0</v>
      </c>
      <c r="V33" s="67">
        <f>IF(M33&lt;=0,0,Q33*$Q$11)</f>
        <v>7.4353209875621618</v>
      </c>
      <c r="W33" s="67">
        <f t="shared" ref="W33:W35" si="14">IF(M33&lt;=0,0,Q33*$R$11)</f>
        <v>8.3036012495541431</v>
      </c>
      <c r="X33" s="67">
        <f t="shared" ref="X33:X35" si="15">IF(M33&lt;=0,0,R33*$S$12)</f>
        <v>0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24.120913593453011</v>
      </c>
      <c r="AD33" s="99">
        <f t="shared" ref="AD33:AD38" si="17">U33+W33+Z33</f>
        <v>8.3036012495541431</v>
      </c>
      <c r="AE33" s="107">
        <f t="shared" ref="AE33:AE38" si="18">X33+AA33</f>
        <v>0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Irish potato</v>
      </c>
      <c r="M34" s="51">
        <f t="shared" si="7"/>
        <v>0.5</v>
      </c>
      <c r="N34" s="90">
        <f t="shared" si="8"/>
        <v>1000</v>
      </c>
      <c r="O34" s="70">
        <v>108.08107512913381</v>
      </c>
      <c r="P34" s="71">
        <v>0</v>
      </c>
      <c r="Q34" s="71">
        <v>138.91878295013984</v>
      </c>
      <c r="R34" s="71">
        <v>93.81331096712313</v>
      </c>
      <c r="S34" s="71">
        <v>0</v>
      </c>
      <c r="T34" s="85">
        <f t="shared" si="9"/>
        <v>49.717294559401552</v>
      </c>
      <c r="U34" s="86">
        <f t="shared" si="13"/>
        <v>0</v>
      </c>
      <c r="V34" s="86">
        <f>IF(M34&lt;=0,0,Q34*$Q$11)</f>
        <v>25.005380931025172</v>
      </c>
      <c r="W34" s="86">
        <f t="shared" si="14"/>
        <v>27.925453748637111</v>
      </c>
      <c r="X34" s="86">
        <f t="shared" si="15"/>
        <v>46.719028861627315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74.722675490426724</v>
      </c>
      <c r="AD34" s="99">
        <f t="shared" si="17"/>
        <v>27.925453748637111</v>
      </c>
      <c r="AE34" s="107">
        <f t="shared" si="18"/>
        <v>46.719028861627315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18"/>
      <c r="C35" s="218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Wheat</v>
      </c>
      <c r="M35" s="51">
        <f t="shared" si="7"/>
        <v>0.5</v>
      </c>
      <c r="N35" s="69">
        <f t="shared" si="8"/>
        <v>1800</v>
      </c>
      <c r="O35" s="70">
        <v>178.7740403916894</v>
      </c>
      <c r="P35" s="71">
        <v>0</v>
      </c>
      <c r="Q35" s="71">
        <v>35.943900883106913</v>
      </c>
      <c r="R35" s="71">
        <v>47.102848847935213</v>
      </c>
      <c r="S35" s="65">
        <v>0</v>
      </c>
      <c r="T35" s="66">
        <f t="shared" si="9"/>
        <v>82.236058580177129</v>
      </c>
      <c r="U35" s="67">
        <f t="shared" si="13"/>
        <v>0</v>
      </c>
      <c r="V35" s="67">
        <f>IF(M35&lt;=0,0,Q35*$Q$11)</f>
        <v>6.4699021589592443</v>
      </c>
      <c r="W35" s="67">
        <f t="shared" si="14"/>
        <v>7.2254429555221522</v>
      </c>
      <c r="X35" s="67">
        <f t="shared" si="15"/>
        <v>23.457218726271734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88.705960739136373</v>
      </c>
      <c r="AD35" s="99">
        <f t="shared" si="17"/>
        <v>7.2254429555221522</v>
      </c>
      <c r="AE35" s="107">
        <f t="shared" si="18"/>
        <v>23.457218726271734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>
        <f t="shared" si="7"/>
        <v>0</v>
      </c>
      <c r="M36" s="48">
        <f t="shared" si="7"/>
        <v>0</v>
      </c>
      <c r="N36" s="69">
        <f t="shared" si="8"/>
        <v>0</v>
      </c>
      <c r="O36" s="64">
        <v>0</v>
      </c>
      <c r="P36" s="65">
        <v>0</v>
      </c>
      <c r="Q36" s="65">
        <v>0</v>
      </c>
      <c r="R36" s="65">
        <v>0</v>
      </c>
      <c r="S36" s="65">
        <v>0</v>
      </c>
      <c r="T36" s="66">
        <f t="shared" si="9"/>
        <v>0</v>
      </c>
      <c r="U36" s="67">
        <f>IF(M36&lt;=0,0,P36*$R$10)</f>
        <v>0</v>
      </c>
      <c r="V36" s="67">
        <f>IF(M36&lt;=0,0,Q36*$Q$11)</f>
        <v>0</v>
      </c>
      <c r="W36" s="67">
        <f>IF(M36&lt;=0,0,Q36*$R$11)</f>
        <v>0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0</v>
      </c>
      <c r="AD36" s="99">
        <f t="shared" si="17"/>
        <v>0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>
        <f t="shared" si="7"/>
        <v>0</v>
      </c>
      <c r="M37" s="53">
        <f t="shared" si="7"/>
        <v>0</v>
      </c>
      <c r="N37" s="74">
        <f t="shared" si="8"/>
        <v>0</v>
      </c>
      <c r="O37" s="64">
        <v>0</v>
      </c>
      <c r="P37" s="65">
        <v>0</v>
      </c>
      <c r="Q37" s="65">
        <v>0</v>
      </c>
      <c r="R37" s="65">
        <v>0</v>
      </c>
      <c r="S37" s="65">
        <v>0</v>
      </c>
      <c r="T37" s="66">
        <f t="shared" si="9"/>
        <v>0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0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0</v>
      </c>
      <c r="AD37" s="99">
        <f t="shared" si="17"/>
        <v>0</v>
      </c>
      <c r="AE37" s="107">
        <f t="shared" si="18"/>
        <v>0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>
        <f t="shared" si="7"/>
        <v>0</v>
      </c>
      <c r="M38" s="61">
        <f t="shared" si="7"/>
        <v>0</v>
      </c>
      <c r="N38" s="61">
        <f t="shared" si="8"/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f t="shared" si="9"/>
        <v>0</v>
      </c>
      <c r="U38" s="98">
        <f>IF(M38&lt;=0,0,P38*$R$10)</f>
        <v>0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0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0</v>
      </c>
      <c r="AE38" s="107">
        <f t="shared" si="18"/>
        <v>0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375.04476568067594</v>
      </c>
      <c r="P39" s="98">
        <f t="shared" ref="P39:S39" si="22">SUM(P32:P38)</f>
        <v>0</v>
      </c>
      <c r="Q39" s="98">
        <f t="shared" si="22"/>
        <v>286.24562984454099</v>
      </c>
      <c r="R39" s="98">
        <f t="shared" si="22"/>
        <v>149.20239940083152</v>
      </c>
      <c r="S39" s="98">
        <f t="shared" si="22"/>
        <v>0</v>
      </c>
      <c r="T39" s="100">
        <f>T32+T33+T34+T35+T36+T37+T38</f>
        <v>172.52059221311094</v>
      </c>
      <c r="U39" s="100">
        <f t="shared" ref="U39:AA39" si="23">U32+U33+U34+U35+U36+U37+U38</f>
        <v>0</v>
      </c>
      <c r="V39" s="100">
        <f t="shared" si="23"/>
        <v>51.524213372017378</v>
      </c>
      <c r="W39" s="100">
        <f t="shared" si="23"/>
        <v>57.541096511349636</v>
      </c>
      <c r="X39" s="100">
        <f t="shared" si="23"/>
        <v>74.302794901614092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224.04480558512833</v>
      </c>
      <c r="AD39" s="101">
        <f t="shared" si="24"/>
        <v>57.541096511349636</v>
      </c>
      <c r="AE39" s="101">
        <f t="shared" si="24"/>
        <v>74.302794901614092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187.52238284033797</v>
      </c>
      <c r="P40" s="98">
        <f t="shared" ref="P40:S40" si="25">$M$32*P32+$M$33*P33+$M$34*P34+$M$35*P35+$M$36*P36+$M$37*P37+P38*$M$38</f>
        <v>0</v>
      </c>
      <c r="Q40" s="98">
        <f>$M$32*Q32+$M$33*Q33+$M$34*Q34+$M$35*Q35+$M$36*Q36+$M$37*Q37+Q38*$M$38</f>
        <v>143.12281492227049</v>
      </c>
      <c r="R40" s="98">
        <f t="shared" si="25"/>
        <v>74.601199700415762</v>
      </c>
      <c r="S40" s="98">
        <f t="shared" si="25"/>
        <v>0</v>
      </c>
      <c r="AJ40" s="38"/>
      <c r="AK40" s="38"/>
    </row>
    <row r="41" spans="1:37" ht="18" x14ac:dyDescent="0.4">
      <c r="A41" s="38"/>
      <c r="B41" s="219" t="s">
        <v>67</v>
      </c>
      <c r="C41" s="220"/>
      <c r="D41" s="220"/>
      <c r="E41" s="220"/>
      <c r="F41" s="220"/>
      <c r="G41" s="220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6" t="s">
        <v>41</v>
      </c>
      <c r="D42" s="227"/>
      <c r="E42" s="227"/>
      <c r="F42" s="227"/>
      <c r="G42" s="227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Maize</v>
      </c>
      <c r="C44" s="6">
        <f>O32</f>
        <v>51.916622755742175</v>
      </c>
      <c r="D44" s="6">
        <f>P32</f>
        <v>0</v>
      </c>
      <c r="E44" s="6">
        <f>Q32</f>
        <v>70.07560719150446</v>
      </c>
      <c r="F44" s="6">
        <f>R32</f>
        <v>8.286239585773183</v>
      </c>
      <c r="G44" s="6">
        <f>S32</f>
        <v>0</v>
      </c>
      <c r="H44" s="38"/>
      <c r="I44" s="38"/>
      <c r="J44" s="38"/>
      <c r="K44" s="38"/>
      <c r="L44" s="39" t="s">
        <v>85</v>
      </c>
      <c r="N44" s="212" t="s">
        <v>47</v>
      </c>
      <c r="O44" s="213"/>
      <c r="P44" s="213"/>
      <c r="Q44" s="213"/>
      <c r="R44" s="213"/>
      <c r="S44" s="213"/>
      <c r="T44" s="213"/>
      <c r="U44" s="214"/>
      <c r="Y44" s="54"/>
      <c r="AJ44" s="38"/>
      <c r="AK44" s="38"/>
    </row>
    <row r="45" spans="1:37" ht="18" x14ac:dyDescent="0.35">
      <c r="A45" s="38"/>
      <c r="B45" s="33" t="str">
        <f t="shared" ref="B45:B50" si="26">B17</f>
        <v>Bean</v>
      </c>
      <c r="C45" s="6">
        <f t="shared" ref="C45:E50" si="27">O33</f>
        <v>36.273027404110543</v>
      </c>
      <c r="D45" s="6">
        <f t="shared" si="27"/>
        <v>0</v>
      </c>
      <c r="E45" s="6">
        <f t="shared" si="27"/>
        <v>41.307338819789791</v>
      </c>
      <c r="F45" s="6">
        <f t="shared" ref="F45:F50" si="28">R33</f>
        <v>0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Irish potato</v>
      </c>
      <c r="C46" s="6">
        <f t="shared" si="27"/>
        <v>108.08107512913381</v>
      </c>
      <c r="D46" s="6">
        <f t="shared" si="27"/>
        <v>0</v>
      </c>
      <c r="E46" s="6">
        <f t="shared" si="27"/>
        <v>138.91878295013984</v>
      </c>
      <c r="F46" s="6">
        <f t="shared" si="28"/>
        <v>93.81331096712313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Maize</v>
      </c>
      <c r="O46" s="56">
        <f>O32*$U$9</f>
        <v>124599.89461378122</v>
      </c>
      <c r="P46" s="57">
        <f>P32*$U$10</f>
        <v>0</v>
      </c>
      <c r="Q46" s="57">
        <f>Q32*$U$11</f>
        <v>196211.70013621249</v>
      </c>
      <c r="R46" s="57">
        <f>R32*$U$12</f>
        <v>16572.479171546365</v>
      </c>
      <c r="S46" s="57">
        <f>S32*$U$13</f>
        <v>0</v>
      </c>
      <c r="T46" s="87">
        <f>SUM(O46:S46)*M32</f>
        <v>168692.03696077003</v>
      </c>
      <c r="U46" s="221"/>
      <c r="Y46" s="54"/>
      <c r="AJ46" s="38"/>
      <c r="AK46" s="38"/>
    </row>
    <row r="47" spans="1:37" ht="15.75" customHeight="1" x14ac:dyDescent="0.35">
      <c r="A47" s="38"/>
      <c r="B47" s="33" t="str">
        <f t="shared" si="26"/>
        <v>Wheat</v>
      </c>
      <c r="C47" s="6">
        <f t="shared" si="27"/>
        <v>178.7740403916894</v>
      </c>
      <c r="D47" s="6">
        <f t="shared" si="27"/>
        <v>0</v>
      </c>
      <c r="E47" s="6">
        <f t="shared" si="27"/>
        <v>35.943900883106913</v>
      </c>
      <c r="F47" s="6">
        <f t="shared" si="28"/>
        <v>47.102848847935213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Bean</v>
      </c>
      <c r="O47" s="56">
        <f t="shared" ref="O47:O52" si="31">O33*$U$9</f>
        <v>87055.265769865306</v>
      </c>
      <c r="P47" s="57">
        <f t="shared" ref="P47:P52" si="32">P33*$U$10</f>
        <v>0</v>
      </c>
      <c r="Q47" s="57">
        <f t="shared" ref="Q47:Q52" si="33">Q33*$U$11</f>
        <v>115660.54869541142</v>
      </c>
      <c r="R47" s="57">
        <f t="shared" ref="R47:R52" si="34">R33*$U$12</f>
        <v>0</v>
      </c>
      <c r="S47" s="57">
        <f t="shared" ref="S47:S52" si="35">S33*$U$13</f>
        <v>0</v>
      </c>
      <c r="T47" s="88">
        <f>SUM(O47:S47)*M33</f>
        <v>101357.90723263836</v>
      </c>
      <c r="U47" s="222"/>
      <c r="AJ47" s="38"/>
      <c r="AK47" s="38"/>
    </row>
    <row r="48" spans="1:37" ht="18" x14ac:dyDescent="0.35">
      <c r="A48" s="38"/>
      <c r="B48" s="33">
        <f t="shared" si="26"/>
        <v>0</v>
      </c>
      <c r="C48" s="6">
        <f t="shared" si="27"/>
        <v>0</v>
      </c>
      <c r="D48" s="6">
        <f t="shared" si="27"/>
        <v>0</v>
      </c>
      <c r="E48" s="6">
        <f t="shared" si="27"/>
        <v>0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Irish potato</v>
      </c>
      <c r="O48" s="56">
        <f t="shared" si="31"/>
        <v>259394.58030992115</v>
      </c>
      <c r="P48" s="57">
        <f t="shared" si="32"/>
        <v>0</v>
      </c>
      <c r="Q48" s="57">
        <f t="shared" si="33"/>
        <v>388972.59226039157</v>
      </c>
      <c r="R48" s="57">
        <f t="shared" si="34"/>
        <v>187626.62193424627</v>
      </c>
      <c r="S48" s="57">
        <f t="shared" si="35"/>
        <v>0</v>
      </c>
      <c r="T48" s="88">
        <f>SUM(O48:S48)*M34</f>
        <v>417996.89725227951</v>
      </c>
      <c r="U48" s="222"/>
      <c r="AJ48" s="38"/>
      <c r="AK48" s="38"/>
    </row>
    <row r="49" spans="1:37" ht="18" x14ac:dyDescent="0.35">
      <c r="A49" s="38"/>
      <c r="B49" s="33">
        <f t="shared" si="26"/>
        <v>0</v>
      </c>
      <c r="C49" s="6">
        <f t="shared" si="27"/>
        <v>0</v>
      </c>
      <c r="D49" s="6">
        <f t="shared" si="27"/>
        <v>0</v>
      </c>
      <c r="E49" s="6">
        <f t="shared" si="27"/>
        <v>0</v>
      </c>
      <c r="F49" s="6">
        <f t="shared" si="28"/>
        <v>0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Wheat</v>
      </c>
      <c r="O49" s="56">
        <f t="shared" si="31"/>
        <v>429057.69694005453</v>
      </c>
      <c r="P49" s="57">
        <f t="shared" si="32"/>
        <v>0</v>
      </c>
      <c r="Q49" s="57">
        <f t="shared" si="33"/>
        <v>100642.92247269936</v>
      </c>
      <c r="R49" s="57">
        <f t="shared" si="34"/>
        <v>94205.697695870433</v>
      </c>
      <c r="S49" s="57">
        <f t="shared" si="35"/>
        <v>0</v>
      </c>
      <c r="T49" s="88">
        <f>SUM(O49:S49)*M35</f>
        <v>311953.15855431213</v>
      </c>
      <c r="U49" s="222"/>
      <c r="AJ49" s="38"/>
      <c r="AK49" s="38"/>
    </row>
    <row r="50" spans="1:37" ht="18" x14ac:dyDescent="0.35">
      <c r="A50" s="38"/>
      <c r="B50" s="33">
        <f t="shared" si="26"/>
        <v>0</v>
      </c>
      <c r="C50" s="118">
        <f t="shared" si="27"/>
        <v>0</v>
      </c>
      <c r="D50" s="118">
        <f t="shared" si="27"/>
        <v>0</v>
      </c>
      <c r="E50" s="118">
        <f t="shared" si="27"/>
        <v>0</v>
      </c>
      <c r="F50" s="119">
        <f t="shared" si="28"/>
        <v>0</v>
      </c>
      <c r="G50" s="6">
        <f t="shared" si="29"/>
        <v>0</v>
      </c>
      <c r="H50" s="38"/>
      <c r="I50" s="38"/>
      <c r="J50" s="38"/>
      <c r="K50" s="38"/>
      <c r="N50" s="126">
        <f t="shared" si="30"/>
        <v>0</v>
      </c>
      <c r="O50" s="56">
        <f t="shared" si="31"/>
        <v>0</v>
      </c>
      <c r="P50" s="57">
        <f t="shared" si="32"/>
        <v>0</v>
      </c>
      <c r="Q50" s="57">
        <f t="shared" si="33"/>
        <v>0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0</v>
      </c>
      <c r="U50" s="222"/>
      <c r="W50" s="211"/>
      <c r="X50" s="211"/>
      <c r="AJ50" s="38"/>
      <c r="AK50" s="38"/>
    </row>
    <row r="51" spans="1:37" ht="18" x14ac:dyDescent="0.4">
      <c r="A51" s="38"/>
      <c r="B51" s="31" t="s">
        <v>94</v>
      </c>
      <c r="C51" s="170">
        <f>O40</f>
        <v>187.52238284033797</v>
      </c>
      <c r="D51" s="170">
        <f>P40</f>
        <v>0</v>
      </c>
      <c r="E51" s="170">
        <f>Q40</f>
        <v>143.12281492227049</v>
      </c>
      <c r="F51" s="170">
        <f>R40</f>
        <v>74.601199700415762</v>
      </c>
      <c r="G51" s="170">
        <f>S40</f>
        <v>0</v>
      </c>
      <c r="H51" s="14"/>
      <c r="I51" s="38"/>
      <c r="J51" s="38"/>
      <c r="K51" s="38"/>
      <c r="N51" s="126">
        <f t="shared" si="30"/>
        <v>0</v>
      </c>
      <c r="O51" s="56">
        <f t="shared" si="31"/>
        <v>0</v>
      </c>
      <c r="P51" s="57">
        <f t="shared" si="32"/>
        <v>0</v>
      </c>
      <c r="Q51" s="57">
        <f t="shared" si="33"/>
        <v>0</v>
      </c>
      <c r="R51" s="57">
        <f t="shared" si="34"/>
        <v>0</v>
      </c>
      <c r="S51" s="57">
        <f t="shared" si="35"/>
        <v>0</v>
      </c>
      <c r="T51" s="89">
        <f>SUM(O51:S51)*M37</f>
        <v>0</v>
      </c>
      <c r="U51" s="222"/>
      <c r="W51" s="54"/>
      <c r="X51" s="54"/>
      <c r="AJ51" s="38"/>
      <c r="AK51" s="38"/>
    </row>
    <row r="52" spans="1:37" ht="18" x14ac:dyDescent="0.4">
      <c r="A52" s="38"/>
      <c r="B52" s="219" t="s">
        <v>93</v>
      </c>
      <c r="C52" s="224"/>
      <c r="D52" s="225"/>
      <c r="E52" s="38"/>
      <c r="F52" s="38"/>
      <c r="G52" s="38"/>
      <c r="H52" s="14"/>
      <c r="I52" s="38"/>
      <c r="J52" s="38"/>
      <c r="K52" s="38"/>
      <c r="N52" s="126">
        <f t="shared" si="30"/>
        <v>0</v>
      </c>
      <c r="O52" s="56">
        <f t="shared" si="31"/>
        <v>0</v>
      </c>
      <c r="P52" s="57">
        <f t="shared" si="32"/>
        <v>0</v>
      </c>
      <c r="Q52" s="57">
        <f t="shared" si="33"/>
        <v>0</v>
      </c>
      <c r="R52" s="57">
        <f t="shared" si="34"/>
        <v>0</v>
      </c>
      <c r="S52" s="57">
        <f t="shared" si="35"/>
        <v>0</v>
      </c>
      <c r="T52" s="89">
        <f>SUM(O52:S52)*M38</f>
        <v>0</v>
      </c>
      <c r="U52" s="223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900107.4376336222</v>
      </c>
      <c r="P53" s="100">
        <f t="shared" ref="P53:S53" si="37">SUM(P46:P52)</f>
        <v>0</v>
      </c>
      <c r="Q53" s="100">
        <f t="shared" si="37"/>
        <v>801487.76356471481</v>
      </c>
      <c r="R53" s="100">
        <f t="shared" si="37"/>
        <v>298404.79880166304</v>
      </c>
      <c r="S53" s="100">
        <f t="shared" si="37"/>
        <v>0</v>
      </c>
      <c r="T53" s="103">
        <f>T52+T51+T50+T49+T48+T47+T46</f>
        <v>1000000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Maize</v>
      </c>
      <c r="C54" s="7">
        <f>W60</f>
        <v>1453.5134059499228</v>
      </c>
      <c r="D54" s="7">
        <f>X60</f>
        <v>534723.96964841348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Bean</v>
      </c>
      <c r="C55" s="7">
        <f>W64</f>
        <v>961.60286157365522</v>
      </c>
      <c r="D55" s="7">
        <f>X64</f>
        <v>1239688.4778952063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Irish potato</v>
      </c>
      <c r="C56" s="7">
        <f>W68</f>
        <v>11053.164580738332</v>
      </c>
      <c r="D56" s="7">
        <f>X68</f>
        <v>10217170.786233775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Wheat</v>
      </c>
      <c r="C57" s="7">
        <f>W72</f>
        <v>1858.4651376832446</v>
      </c>
      <c r="D57" s="7">
        <f>X72</f>
        <v>2721330.9307212159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>
        <f t="shared" si="38"/>
        <v>0</v>
      </c>
      <c r="C58" s="7">
        <f>W76</f>
        <v>0</v>
      </c>
      <c r="D58" s="7">
        <f>X76</f>
        <v>0</v>
      </c>
      <c r="E58" s="38"/>
      <c r="F58" s="38"/>
      <c r="G58" s="38"/>
      <c r="H58" s="76"/>
      <c r="I58" s="38"/>
      <c r="J58" s="38"/>
      <c r="K58" s="38"/>
      <c r="L58" s="212" t="s">
        <v>46</v>
      </c>
      <c r="M58" s="213"/>
      <c r="N58" s="213"/>
      <c r="O58" s="213"/>
      <c r="P58" s="213"/>
      <c r="Q58" s="213"/>
      <c r="R58" s="228"/>
      <c r="S58" s="212" t="s">
        <v>44</v>
      </c>
      <c r="T58" s="213"/>
      <c r="U58" s="213"/>
      <c r="V58" s="213"/>
      <c r="W58" s="212" t="s">
        <v>95</v>
      </c>
      <c r="X58" s="228"/>
      <c r="AJ58" s="38"/>
      <c r="AK58" s="38"/>
    </row>
    <row r="59" spans="1:37" ht="18" x14ac:dyDescent="0.35">
      <c r="A59" s="38"/>
      <c r="B59" s="33">
        <f t="shared" si="38"/>
        <v>0</v>
      </c>
      <c r="C59" s="117">
        <f>W80</f>
        <v>0</v>
      </c>
      <c r="D59" s="7">
        <f>X80</f>
        <v>0</v>
      </c>
      <c r="E59" s="38"/>
      <c r="F59" s="38"/>
      <c r="G59" s="38"/>
      <c r="H59" s="76"/>
      <c r="I59" s="38"/>
      <c r="J59" s="38"/>
      <c r="K59" s="38"/>
      <c r="L59" s="60" t="s">
        <v>0</v>
      </c>
      <c r="M59" s="198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>
        <f t="shared" si="38"/>
        <v>0</v>
      </c>
      <c r="C60" s="117">
        <f>W84</f>
        <v>0</v>
      </c>
      <c r="D60" s="7">
        <f>X84</f>
        <v>0</v>
      </c>
      <c r="E60" s="38"/>
      <c r="F60" s="38"/>
      <c r="G60" s="38"/>
      <c r="H60" s="38"/>
      <c r="I60" s="38"/>
      <c r="J60" s="38"/>
      <c r="K60" s="38"/>
      <c r="L60" s="60" t="s">
        <v>108</v>
      </c>
      <c r="M60" s="196">
        <v>4.7142820567165886</v>
      </c>
      <c r="N60" s="196">
        <v>1.0042820567165887</v>
      </c>
      <c r="O60" s="196">
        <v>0.95099999999999996</v>
      </c>
      <c r="P60" s="61">
        <f>M60-N60</f>
        <v>3.71</v>
      </c>
      <c r="Q60" s="98">
        <f>IFERROR((M60-N60*POWER(O60,AC32)-(P60)),0)</f>
        <v>0.84375505713358656</v>
      </c>
      <c r="R60" s="98">
        <f>Q60*1000</f>
        <v>843.75505713358655</v>
      </c>
      <c r="S60" s="104">
        <f>R60*N32*M32</f>
        <v>253126.51714007597</v>
      </c>
      <c r="T60" s="116">
        <f>S60+S61+S62+S63</f>
        <v>436054.02178497677</v>
      </c>
      <c r="U60" s="116">
        <f>T46</f>
        <v>168692.03696077003</v>
      </c>
      <c r="V60" s="116">
        <f>T60-U60</f>
        <v>267361.98482420674</v>
      </c>
      <c r="W60" s="103">
        <f>R60+R61+R62+R63</f>
        <v>1453.5134059499228</v>
      </c>
      <c r="X60" s="147">
        <f>IF(OR(M32=0,M32=1),$V$60,IF(M32&lt;1,$V$60/M32,IF(M32&gt;1,$V$60/M32,0)))</f>
        <v>534723.96964841348</v>
      </c>
      <c r="AJ60" s="38"/>
      <c r="AK60" s="38"/>
    </row>
    <row r="61" spans="1:37" ht="18" x14ac:dyDescent="0.4">
      <c r="A61" s="38"/>
      <c r="B61" s="219" t="s">
        <v>91</v>
      </c>
      <c r="C61" s="231"/>
      <c r="D61" s="232"/>
      <c r="E61" s="38"/>
      <c r="F61" s="38"/>
      <c r="G61" s="38"/>
      <c r="H61" s="38"/>
      <c r="I61" s="38"/>
      <c r="J61" s="38"/>
      <c r="K61" s="38"/>
      <c r="L61" s="60" t="s">
        <v>109</v>
      </c>
      <c r="M61" s="196">
        <v>4.9969004757329918</v>
      </c>
      <c r="N61" s="196">
        <v>0.68690047573299218</v>
      </c>
      <c r="O61" s="196">
        <v>0.878</v>
      </c>
      <c r="P61" s="61">
        <f t="shared" ref="P61" si="39">M61-N61</f>
        <v>4.3099999999999996</v>
      </c>
      <c r="Q61" s="98">
        <f>IFERROR(((M61-N61*POWER(O61,AD32)-(P61))),0)</f>
        <v>0.57701918647845307</v>
      </c>
      <c r="R61" s="98">
        <f>Q61*1000</f>
        <v>577.01918647845309</v>
      </c>
      <c r="S61" s="104">
        <f>R61*N32*M32</f>
        <v>173105.75594353591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33">
        <f>V98</f>
        <v>7356457.0822493052</v>
      </c>
      <c r="D62" s="234"/>
      <c r="E62" s="38"/>
      <c r="F62" s="38"/>
      <c r="G62" s="38"/>
      <c r="H62" s="38"/>
      <c r="I62" s="38"/>
      <c r="J62" s="38"/>
      <c r="K62" s="38"/>
      <c r="L62" s="114" t="s">
        <v>110</v>
      </c>
      <c r="M62" s="196">
        <v>4.411070121993423</v>
      </c>
      <c r="N62" s="196">
        <v>8.7070121993423122E-2</v>
      </c>
      <c r="O62" s="196">
        <v>0.89200000000000002</v>
      </c>
      <c r="P62" s="148">
        <f t="shared" ref="P62" si="40">M62-N62</f>
        <v>4.3239999999999998</v>
      </c>
      <c r="Q62" s="149">
        <f>IFERROR(((M62-N62*POWER(O62,AE32)-(P62))),0)</f>
        <v>3.2739162337882988E-2</v>
      </c>
      <c r="R62" s="149">
        <f t="shared" ref="R62" si="41">Q62*1000</f>
        <v>32.739162337882988</v>
      </c>
      <c r="S62" s="150">
        <f>R62*N32*M32</f>
        <v>9821.748701364897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111</v>
      </c>
      <c r="M63" s="199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60" t="s">
        <v>115</v>
      </c>
      <c r="M64" s="196">
        <v>1.5631946212598027</v>
      </c>
      <c r="N64" s="196">
        <v>0.81719462125980269</v>
      </c>
      <c r="O64" s="196">
        <v>0.871</v>
      </c>
      <c r="P64" s="61">
        <f t="shared" ref="P64:P67" si="44">M64-N64</f>
        <v>0.746</v>
      </c>
      <c r="Q64" s="98">
        <f>IFERROR((M64-N64*POWER(O64,AC33)-(P64)),0)</f>
        <v>0.78798616532289834</v>
      </c>
      <c r="R64" s="98">
        <f>Q64*1000</f>
        <v>787.98616532289839</v>
      </c>
      <c r="S64" s="104">
        <f>R64*$N$33*$M$33</f>
        <v>590989.62399217382</v>
      </c>
      <c r="T64" s="116">
        <f>S64+S65+S66+S67</f>
        <v>721202.14618024149</v>
      </c>
      <c r="U64" s="116">
        <f>T47</f>
        <v>101357.90723263836</v>
      </c>
      <c r="V64" s="116">
        <f>T64-U64</f>
        <v>619844.23894760315</v>
      </c>
      <c r="W64" s="103">
        <f>R64+R65+R66+R67</f>
        <v>961.60286157365522</v>
      </c>
      <c r="X64" s="60">
        <f>IF(OR(M33=0,M33=1),$V$64,IF(M33&lt;1,$V$64/M33,IF(M33&gt;1,$V$64/M33,0)))</f>
        <v>1239688.4778952063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60" t="s">
        <v>116</v>
      </c>
      <c r="M65" s="196">
        <v>1.0680031131766563</v>
      </c>
      <c r="N65" s="196">
        <v>0.20550311317665626</v>
      </c>
      <c r="O65" s="196">
        <v>0.79900000000000004</v>
      </c>
      <c r="P65" s="61">
        <f t="shared" si="44"/>
        <v>0.86250000000000004</v>
      </c>
      <c r="Q65" s="149">
        <f>IFERROR(((M65-N65*POWER(O65,AD33)-(P65))),0)</f>
        <v>0.17361669625075682</v>
      </c>
      <c r="R65" s="98">
        <f t="shared" ref="R65:R67" si="45">Q65*1000</f>
        <v>173.61669625075683</v>
      </c>
      <c r="S65" s="104">
        <f t="shared" ref="S65:S67" si="46">R65*$N$33*$M$33</f>
        <v>130212.52218806763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66" t="s">
        <v>117</v>
      </c>
      <c r="M66" s="196">
        <v>0</v>
      </c>
      <c r="N66" s="196">
        <v>0</v>
      </c>
      <c r="O66" s="196">
        <v>0</v>
      </c>
      <c r="P66" s="61">
        <f t="shared" si="44"/>
        <v>0</v>
      </c>
      <c r="Q66" s="98">
        <f>IFERROR(((M66-N66*POWER(O66,AE33)-(P66))),0)</f>
        <v>0</v>
      </c>
      <c r="R66" s="98">
        <f t="shared" si="45"/>
        <v>0</v>
      </c>
      <c r="S66" s="104">
        <f t="shared" si="46"/>
        <v>0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66" t="s">
        <v>118</v>
      </c>
      <c r="M67" s="199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x14ac:dyDescent="0.3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204" t="s">
        <v>122</v>
      </c>
      <c r="M68" s="196">
        <v>15.247918059985437</v>
      </c>
      <c r="N68" s="196">
        <v>3.8504180599854365</v>
      </c>
      <c r="O68" s="196">
        <v>0.94899999999999995</v>
      </c>
      <c r="P68" s="148">
        <f t="shared" ref="P68:P71" si="47">M68-N68</f>
        <v>11.397500000000001</v>
      </c>
      <c r="Q68" s="149">
        <f>IFERROR((M68-N68*POWER(O68,AC34)-(P68)),0)</f>
        <v>3.773367028994743</v>
      </c>
      <c r="R68" s="98">
        <f t="shared" ref="R68:R71" si="48">Q68*1000</f>
        <v>3773.3670289947431</v>
      </c>
      <c r="S68" s="104">
        <f>R68*$N$34*$M$34</f>
        <v>1886683.5144973716</v>
      </c>
      <c r="T68" s="116">
        <f>S68+S69+S70+S71</f>
        <v>5526582.290369167</v>
      </c>
      <c r="U68" s="116">
        <f>T48</f>
        <v>417996.89725227951</v>
      </c>
      <c r="V68" s="116">
        <f>T68-U68</f>
        <v>5108585.3931168877</v>
      </c>
      <c r="W68" s="103">
        <f>R68+R69+R70+R71</f>
        <v>11053.164580738332</v>
      </c>
      <c r="X68" s="60">
        <f>IF(OR(M34=0,M34=1),$V$68,IF(M34&lt;1,$V$68/M34,IF(M34&gt;1,$V$68/M34,0)))</f>
        <v>10217170.786233775</v>
      </c>
      <c r="AJ68" s="38"/>
      <c r="AK68" s="38"/>
    </row>
    <row r="69" spans="1:37" ht="46.5" customHeight="1" x14ac:dyDescent="0.35">
      <c r="A69" s="38"/>
      <c r="B69" s="230" t="s">
        <v>119</v>
      </c>
      <c r="C69" s="230"/>
      <c r="D69" s="230"/>
      <c r="E69" s="230"/>
      <c r="F69" s="230"/>
      <c r="G69" s="230"/>
      <c r="H69" s="230"/>
      <c r="I69" s="230"/>
      <c r="J69" s="24"/>
      <c r="K69" s="24"/>
      <c r="L69" s="204" t="s">
        <v>123</v>
      </c>
      <c r="M69" s="196">
        <v>17.681000000000001</v>
      </c>
      <c r="N69" s="196">
        <v>5.7810000000000006</v>
      </c>
      <c r="O69" s="196">
        <v>0.83699999999999997</v>
      </c>
      <c r="P69" s="148">
        <f t="shared" si="47"/>
        <v>11.9</v>
      </c>
      <c r="Q69" s="149">
        <f>IFERROR(((M69-N69*POWER(O69,AD34)-(P69))),0)</f>
        <v>5.7408138574351231</v>
      </c>
      <c r="R69" s="149">
        <f t="shared" si="48"/>
        <v>5740.8138574351233</v>
      </c>
      <c r="S69" s="104">
        <f t="shared" ref="S69:S71" si="49">R69*$N$34*$M$34</f>
        <v>2870406.9287175615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204" t="s">
        <v>124</v>
      </c>
      <c r="M70" s="196">
        <v>25.559452249737923</v>
      </c>
      <c r="N70" s="196">
        <v>1.5782855830712563</v>
      </c>
      <c r="O70" s="196">
        <v>0.92400000000000004</v>
      </c>
      <c r="P70" s="148">
        <f t="shared" si="47"/>
        <v>23.981166666666667</v>
      </c>
      <c r="Q70" s="149">
        <f>IFERROR(((M70-N70*POWER(O70,AE34)-(P70))),0)</f>
        <v>1.5389836943084667</v>
      </c>
      <c r="R70" s="149">
        <f t="shared" si="48"/>
        <v>1538.9836943084667</v>
      </c>
      <c r="S70" s="104">
        <f t="shared" si="49"/>
        <v>769491.84715423337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30" t="s">
        <v>120</v>
      </c>
      <c r="C71" s="230"/>
      <c r="D71" s="230"/>
      <c r="E71" s="230"/>
      <c r="F71" s="230"/>
      <c r="G71" s="230"/>
      <c r="H71" s="230"/>
      <c r="I71" s="230"/>
      <c r="J71" s="24"/>
      <c r="K71" s="24"/>
      <c r="L71" s="204" t="s">
        <v>125</v>
      </c>
      <c r="M71" s="199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126</v>
      </c>
      <c r="M72" s="196">
        <v>3.5940000000396393</v>
      </c>
      <c r="N72" s="196">
        <v>1.1450000000396394</v>
      </c>
      <c r="O72" s="196">
        <v>0.97599999999999998</v>
      </c>
      <c r="P72" s="148">
        <f t="shared" ref="P72:P74" si="50">M72-N72</f>
        <v>2.4489999999999998</v>
      </c>
      <c r="Q72" s="149">
        <f>IFERROR((M72-N72*POWER(O72,AC35)-(P72)),0)</f>
        <v>1.0122784555861704</v>
      </c>
      <c r="R72" s="149">
        <f t="shared" ref="R72:R74" si="51">Q72*1000</f>
        <v>1012.2784555861704</v>
      </c>
      <c r="S72" s="150">
        <f>R72*$N$35*$M$35</f>
        <v>911050.61002755328</v>
      </c>
      <c r="T72" s="151">
        <f>S72+S73+S74+S75</f>
        <v>1672618.62391492</v>
      </c>
      <c r="U72" s="151">
        <f>T49</f>
        <v>311953.15855431213</v>
      </c>
      <c r="V72" s="151">
        <f>T72-U72</f>
        <v>1360665.465360608</v>
      </c>
      <c r="W72" s="103">
        <f>R72+R73+R74+R75</f>
        <v>1858.4651376832446</v>
      </c>
      <c r="X72" s="147">
        <f>IF(OR(M35=0,M35=1),$V$72,IF(M35&lt;1,$V$72/M35,IF(M35&gt;1,$V$72/M35,0)))</f>
        <v>2721330.9307212159</v>
      </c>
      <c r="AJ72" s="38"/>
      <c r="AK72" s="38"/>
    </row>
    <row r="73" spans="1:37" ht="47.25" customHeight="1" x14ac:dyDescent="0.35">
      <c r="A73" s="38"/>
      <c r="B73" s="230" t="s">
        <v>121</v>
      </c>
      <c r="C73" s="230"/>
      <c r="D73" s="230"/>
      <c r="E73" s="230"/>
      <c r="F73" s="230"/>
      <c r="G73" s="230"/>
      <c r="H73" s="230"/>
      <c r="I73" s="230"/>
      <c r="J73" s="24"/>
      <c r="K73" s="24"/>
      <c r="L73" s="205" t="s">
        <v>127</v>
      </c>
      <c r="M73">
        <v>3.657</v>
      </c>
      <c r="N73">
        <v>0.29899999999999993</v>
      </c>
      <c r="O73">
        <v>0.65</v>
      </c>
      <c r="P73" s="148">
        <f t="shared" si="50"/>
        <v>3.3580000000000001</v>
      </c>
      <c r="Q73" s="149">
        <f>IFERROR(((M73-N73*POWER(O73,AD35)-(P73))),0)</f>
        <v>0.28569890733719649</v>
      </c>
      <c r="R73" s="149">
        <f t="shared" si="51"/>
        <v>285.69890733719649</v>
      </c>
      <c r="S73" s="150">
        <f t="shared" ref="S73:S75" si="52">R73*$N$35*$M$35</f>
        <v>257129.01660347683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60" t="s">
        <v>128</v>
      </c>
      <c r="M74" s="196">
        <v>4.8868067754092612</v>
      </c>
      <c r="N74" s="196">
        <v>0.57680677540926073</v>
      </c>
      <c r="O74" s="196">
        <v>0.85899999999999999</v>
      </c>
      <c r="P74" s="61">
        <f t="shared" si="50"/>
        <v>4.3100000000000005</v>
      </c>
      <c r="Q74" s="98">
        <f>IFERROR(((M74-N74*POWER(O74,AE35)-(P74))),0)</f>
        <v>0.56048777475987777</v>
      </c>
      <c r="R74" s="98">
        <f t="shared" si="51"/>
        <v>560.48777475987777</v>
      </c>
      <c r="S74" s="150">
        <f t="shared" si="52"/>
        <v>504438.99728388997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30" t="s">
        <v>96</v>
      </c>
      <c r="C75" s="230"/>
      <c r="D75" s="230"/>
      <c r="E75" s="230"/>
      <c r="F75" s="230"/>
      <c r="G75" s="230"/>
      <c r="H75" s="230"/>
      <c r="I75" s="230"/>
      <c r="J75" s="38"/>
      <c r="K75" s="38"/>
      <c r="L75" s="114" t="s">
        <v>129</v>
      </c>
      <c r="M75" s="199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5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60"/>
      <c r="M76" s="197">
        <v>0</v>
      </c>
      <c r="N76" s="197">
        <v>0</v>
      </c>
      <c r="O76">
        <v>0</v>
      </c>
      <c r="P76" s="153">
        <f>M76-N76</f>
        <v>0</v>
      </c>
      <c r="Q76" s="154">
        <f>IFERROR((M76-N76*POWER(O76,AC36)-(P76)),0)</f>
        <v>0</v>
      </c>
      <c r="R76" s="154">
        <f>Q76*1000</f>
        <v>0</v>
      </c>
      <c r="S76" s="155">
        <f>R76*$N$36*$M$36</f>
        <v>0</v>
      </c>
      <c r="T76" s="156">
        <f>S76+S77+S78+S79</f>
        <v>0</v>
      </c>
      <c r="U76" s="156">
        <f>T50</f>
        <v>0</v>
      </c>
      <c r="V76" s="156">
        <f>T76-U76</f>
        <v>0</v>
      </c>
      <c r="W76" s="157">
        <f>R76+R77+R78+R79</f>
        <v>0</v>
      </c>
      <c r="X76" s="158">
        <f>IF(OR(M36=0,M36=1),$V$76,IF(M36&lt;1,$V$76/M36,IF(M36&gt;1,$V$76/M36,0)))</f>
        <v>0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60"/>
      <c r="M77" s="195">
        <v>0</v>
      </c>
      <c r="N77" s="195">
        <v>0</v>
      </c>
      <c r="O77" s="196">
        <v>0</v>
      </c>
      <c r="P77" s="106">
        <f t="shared" ref="P77" si="53">M77-N77</f>
        <v>0</v>
      </c>
      <c r="Q77" s="159">
        <f>IFERROR(((M77-N77*POWER(O77,AD36)-(P77))),0)</f>
        <v>0</v>
      </c>
      <c r="R77" s="159">
        <f t="shared" ref="R77:R79" si="54">Q77*1000</f>
        <v>0</v>
      </c>
      <c r="S77" s="155">
        <f t="shared" ref="S77:S79" si="55">R77*$N$36*$M$36</f>
        <v>0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5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166"/>
      <c r="M78" s="197">
        <v>0</v>
      </c>
      <c r="N78" s="197">
        <v>0</v>
      </c>
      <c r="O78" s="196">
        <v>0</v>
      </c>
      <c r="P78" s="106">
        <f>M78-N78</f>
        <v>0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166"/>
      <c r="M79" s="200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60"/>
      <c r="M80" s="195">
        <v>0</v>
      </c>
      <c r="N80" s="195">
        <v>0</v>
      </c>
      <c r="O80" s="196">
        <v>0</v>
      </c>
      <c r="P80" s="106">
        <f>M80-N80</f>
        <v>0</v>
      </c>
      <c r="Q80" s="106">
        <f>IFERROR((M80-N80*POWER(O80,AC37)-(P80)),0)</f>
        <v>0</v>
      </c>
      <c r="R80" s="159">
        <f t="shared" ref="R80:R82" si="56">Q80*1000</f>
        <v>0</v>
      </c>
      <c r="S80" s="106">
        <f>R80*$N$37*$M$37</f>
        <v>0</v>
      </c>
      <c r="T80" s="106">
        <f>S80+S81+S82+S83</f>
        <v>0</v>
      </c>
      <c r="U80" s="160">
        <f>T51</f>
        <v>0</v>
      </c>
      <c r="V80" s="106">
        <f>T80-U80</f>
        <v>0</v>
      </c>
      <c r="W80" s="159">
        <f>R80+R81+R82+R83</f>
        <v>0</v>
      </c>
      <c r="X80" s="106">
        <f>IF(OR(M37=0,M37=1),$V$80,IF(M37&lt;1,$V$80/M37,IF(M37&gt;1,$V$80/M37,0)))</f>
        <v>0</v>
      </c>
    </row>
    <row r="81" spans="9:24" x14ac:dyDescent="0.3">
      <c r="L81" s="60"/>
      <c r="M81" s="195">
        <v>0</v>
      </c>
      <c r="N81" s="195">
        <v>0</v>
      </c>
      <c r="O81" s="196">
        <v>0</v>
      </c>
      <c r="P81" s="152">
        <f t="shared" ref="P81" si="57">M81-N81</f>
        <v>0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ht="14.5" x14ac:dyDescent="0.35">
      <c r="L82" s="166"/>
      <c r="M82" s="197">
        <v>0</v>
      </c>
      <c r="N82" s="197">
        <v>0</v>
      </c>
      <c r="O82">
        <v>0</v>
      </c>
      <c r="P82" s="106">
        <f>M82-N82</f>
        <v>0</v>
      </c>
      <c r="Q82" s="106">
        <f>IFERROR(((M82-N82*POWER(O82,AE37)-(P82))),0)</f>
        <v>0</v>
      </c>
      <c r="R82" s="159">
        <f t="shared" si="56"/>
        <v>0</v>
      </c>
      <c r="S82" s="106">
        <f t="shared" si="58"/>
        <v>0</v>
      </c>
      <c r="T82" s="163"/>
      <c r="U82" s="163"/>
      <c r="V82" s="163"/>
      <c r="W82" s="160"/>
      <c r="X82" s="160"/>
    </row>
    <row r="83" spans="9:24" ht="15.5" x14ac:dyDescent="0.3">
      <c r="L83" s="166"/>
      <c r="M83" s="201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/>
      <c r="M84" s="197"/>
      <c r="N84" s="197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0</v>
      </c>
      <c r="U84" s="163">
        <f>T52</f>
        <v>0</v>
      </c>
      <c r="V84" s="163">
        <f>T84-U84</f>
        <v>0</v>
      </c>
      <c r="W84" s="160">
        <f>R84+R85+R86+R87</f>
        <v>0</v>
      </c>
      <c r="X84" s="160">
        <f>IF(OR(M38=0,M38=1),$V$84,IF(M38&lt;1,$V$84/M38,IF(M38&gt;1,$V$84/M38,0)))</f>
        <v>0</v>
      </c>
    </row>
    <row r="85" spans="9:24" x14ac:dyDescent="0.3">
      <c r="L85" s="60"/>
      <c r="M85" s="195">
        <v>0</v>
      </c>
      <c r="N85" s="195">
        <v>0</v>
      </c>
      <c r="O85" s="196">
        <v>0</v>
      </c>
      <c r="P85" s="106">
        <f t="shared" ref="P85:P87" si="59">M85-N85</f>
        <v>0</v>
      </c>
      <c r="Q85" s="152">
        <f>IFERROR(((M85-N85*POWER(O85,AD38)-(P85))),0)</f>
        <v>0</v>
      </c>
      <c r="R85" s="159">
        <f t="shared" ref="R85:R87" si="60">Q85*1000</f>
        <v>0</v>
      </c>
      <c r="S85" s="106">
        <f t="shared" ref="S85:S87" si="61">R85*$N$38*$M$38</f>
        <v>0</v>
      </c>
      <c r="T85" s="152"/>
      <c r="U85" s="152"/>
      <c r="V85" s="152"/>
      <c r="W85" s="152"/>
      <c r="X85" s="152"/>
    </row>
    <row r="86" spans="9:24" x14ac:dyDescent="0.3">
      <c r="L86" s="60"/>
      <c r="M86" s="195">
        <v>0</v>
      </c>
      <c r="N86" s="195">
        <v>0</v>
      </c>
      <c r="O86" s="196">
        <v>0</v>
      </c>
      <c r="P86" s="106">
        <f>M86-N86</f>
        <v>0</v>
      </c>
      <c r="Q86" s="152">
        <f>IFERROR(((M86-N86*POWER(O86,AE38)-(P86))),0)</f>
        <v>0</v>
      </c>
      <c r="R86" s="159">
        <f t="shared" si="60"/>
        <v>0</v>
      </c>
      <c r="S86" s="106">
        <f t="shared" si="61"/>
        <v>0</v>
      </c>
      <c r="T86" s="152"/>
      <c r="U86" s="152"/>
      <c r="V86" s="152"/>
      <c r="W86" s="164"/>
      <c r="X86" s="152"/>
    </row>
    <row r="87" spans="9:24" x14ac:dyDescent="0.3">
      <c r="L87" s="114"/>
      <c r="M87" s="202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203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8356457.0822493052</v>
      </c>
      <c r="U98" s="116">
        <f>SUM(U60:U87)</f>
        <v>1000000</v>
      </c>
      <c r="V98" s="116">
        <f>SUM(V60:V87)</f>
        <v>7356457.0822493052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D76989-CDFF-4A84-9115-33B56502B951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6a2a5ef5-46a6-42c7-b9b9-d957781a302b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8FD850D3-324F-4145-BD24-813C2996FF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EB2A5-2D0F-42E2-9AF2-5515505F8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