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fdc-my.sharepoint.com/personal/msmith_ifdc_org/Documents/Documents/OFRA Documents/Excel fertilizer optimization tools/Uganda Excel FOTs  August 2016/New folder/"/>
    </mc:Choice>
  </mc:AlternateContent>
  <xr:revisionPtr revIDLastSave="0" documentId="8_{8903DA69-D50A-48D0-840A-C715FFECB00D}" xr6:coauthVersionLast="47" xr6:coauthVersionMax="47" xr10:uidLastSave="{00000000-0000-0000-0000-000000000000}"/>
  <workbookProtection workbookPassword="C75C" lockStructure="1"/>
  <bookViews>
    <workbookView xWindow="37320" yWindow="-120" windowWidth="29040" windowHeight="15720" activeTab="1" xr2:uid="{00000000-000D-0000-FFFF-FFFF00000000}"/>
  </bookViews>
  <sheets>
    <sheet name="Help and Instructions" sheetId="4" r:id="rId1"/>
    <sheet name="Fertilizer Optimization" sheetId="2" r:id="rId2"/>
  </sheets>
  <definedNames>
    <definedName name="Output">'Fertilizer Optimization'!$B$1:$I$78</definedName>
    <definedName name="solver_adj" localSheetId="1" hidden="1">'Fertilizer Optimization'!$O$32:$S$38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100</definedName>
    <definedName name="solver_lhs1" localSheetId="1" hidden="1">'Fertilizer Optimization'!$O$32:$S$38</definedName>
    <definedName name="solver_lhs10" localSheetId="1" hidden="1">'Fertilizer Optimization'!$O$32:$R$38</definedName>
    <definedName name="solver_lhs11" localSheetId="1" hidden="1">'Fertilizer Optimization'!$T$89:$V$89</definedName>
    <definedName name="solver_lhs12" localSheetId="1" hidden="1">'Fertilizer Optimization'!$T$52</definedName>
    <definedName name="solver_lhs13" localSheetId="1" hidden="1">'Fertilizer Optimization'!$O$32:$R$38</definedName>
    <definedName name="solver_lhs14" localSheetId="1" hidden="1">'Fertilizer Optimization'!$O$32:$R$38</definedName>
    <definedName name="solver_lhs15" localSheetId="1" hidden="1">'Fertilizer Optimization'!$T$89:$V$89</definedName>
    <definedName name="solver_lhs16" localSheetId="1" hidden="1">'Fertilizer Optimization'!$T$52</definedName>
    <definedName name="solver_lhs17" localSheetId="1" hidden="1">'Fertilizer Optimization'!$O$32:$R$38</definedName>
    <definedName name="solver_lhs18" localSheetId="1" hidden="1">'Fertilizer Optimization'!$O$32:$R$38</definedName>
    <definedName name="solver_lhs19" localSheetId="1" hidden="1">'Fertilizer Optimization'!$T$89:$V$89</definedName>
    <definedName name="solver_lhs2" localSheetId="1" hidden="1">'Fertilizer Optimization'!$O$32:$S$38</definedName>
    <definedName name="solver_lhs20" localSheetId="1" hidden="1">'Fertilizer Optimization'!$T$52</definedName>
    <definedName name="solver_lhs21" localSheetId="1" hidden="1">'Fertilizer Optimization'!$P$34</definedName>
    <definedName name="solver_lhs22" localSheetId="1" hidden="1">'Fertilizer Optimization'!$P$33</definedName>
    <definedName name="solver_lhs23" localSheetId="1" hidden="1">'Fertilizer Optimization'!$P$32</definedName>
    <definedName name="solver_lhs24" localSheetId="1" hidden="1">'Fertilizer Optimization'!$Q$37</definedName>
    <definedName name="solver_lhs25" localSheetId="1" hidden="1">'Fertilizer Optimization'!$Q$36</definedName>
    <definedName name="solver_lhs26" localSheetId="1" hidden="1">'Fertilizer Optimization'!$M$38</definedName>
    <definedName name="solver_lhs3" localSheetId="1" hidden="1">'Fertilizer Optimization'!$AC$32:$AF$38</definedName>
    <definedName name="solver_lhs4" localSheetId="1" hidden="1">'Fertilizer Optimization'!$T$53</definedName>
    <definedName name="solver_lhs5" localSheetId="1" hidden="1">'Fertilizer Optimization'!$O$30:$R$35</definedName>
    <definedName name="solver_lhs6" localSheetId="1" hidden="1">'Fertilizer Optimization'!$O$30:$R$35</definedName>
    <definedName name="solver_lhs7" localSheetId="1" hidden="1">'Fertilizer Optimization'!$T$87:$V$87</definedName>
    <definedName name="solver_lhs8" localSheetId="1" hidden="1">'Fertilizer Optimization'!$U$50</definedName>
    <definedName name="solver_lhs9" localSheetId="1" hidden="1">'Fertilizer Optimization'!$O$32:$R$38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4</definedName>
    <definedName name="solver_nwt" localSheetId="1" hidden="1">1</definedName>
    <definedName name="solver_opt" localSheetId="1" hidden="1">'Fertilizer Optimization'!$V$98</definedName>
    <definedName name="solver_pre" localSheetId="1" hidden="1">0.000001</definedName>
    <definedName name="solver_rbv" localSheetId="1" hidden="1">1</definedName>
    <definedName name="solver_rel1" localSheetId="1" hidden="1">3</definedName>
    <definedName name="solver_rel10" localSheetId="1" hidden="1">1</definedName>
    <definedName name="solver_rel11" localSheetId="1" hidden="1">3</definedName>
    <definedName name="solver_rel12" localSheetId="1" hidden="1">1</definedName>
    <definedName name="solver_rel13" localSheetId="1" hidden="1">3</definedName>
    <definedName name="solver_rel14" localSheetId="1" hidden="1">1</definedName>
    <definedName name="solver_rel15" localSheetId="1" hidden="1">3</definedName>
    <definedName name="solver_rel16" localSheetId="1" hidden="1">1</definedName>
    <definedName name="solver_rel17" localSheetId="1" hidden="1">3</definedName>
    <definedName name="solver_rel18" localSheetId="1" hidden="1">1</definedName>
    <definedName name="solver_rel19" localSheetId="1" hidden="1">3</definedName>
    <definedName name="solver_rel2" localSheetId="1" hidden="1">1</definedName>
    <definedName name="solver_rel20" localSheetId="1" hidden="1">1</definedName>
    <definedName name="solver_rel21" localSheetId="1" hidden="1">4</definedName>
    <definedName name="solver_rel22" localSheetId="1" hidden="1">4</definedName>
    <definedName name="solver_rel23" localSheetId="1" hidden="1">4</definedName>
    <definedName name="solver_rel24" localSheetId="1" hidden="1">4</definedName>
    <definedName name="solver_rel25" localSheetId="1" hidden="1">4</definedName>
    <definedName name="solver_rel26" localSheetId="1" hidden="1">1</definedName>
    <definedName name="solver_rel3" localSheetId="1" hidden="1">1</definedName>
    <definedName name="solver_rel4" localSheetId="1" hidden="1">1</definedName>
    <definedName name="solver_rel5" localSheetId="1" hidden="1">3</definedName>
    <definedName name="solver_rel6" localSheetId="1" hidden="1">1</definedName>
    <definedName name="solver_rel7" localSheetId="1" hidden="1">3</definedName>
    <definedName name="solver_rel8" localSheetId="1" hidden="1">1</definedName>
    <definedName name="solver_rel9" localSheetId="1" hidden="1">3</definedName>
    <definedName name="solver_rhs1" localSheetId="1" hidden="1">'Fertilizer Optimization'!$O$18:$S$24</definedName>
    <definedName name="solver_rhs10" localSheetId="1" hidden="1">'Fertilizer Optimization'!$T$18:$W$23</definedName>
    <definedName name="solver_rhs11" localSheetId="1" hidden="1">0</definedName>
    <definedName name="solver_rhs12" localSheetId="1" hidden="1">'Fertilizer Optimization'!$U$46</definedName>
    <definedName name="solver_rhs13" localSheetId="1" hidden="1">'Fertilizer Optimization'!$O$18:$R$23</definedName>
    <definedName name="solver_rhs14" localSheetId="1" hidden="1">'Fertilizer Optimization'!$T$18:$W$23</definedName>
    <definedName name="solver_rhs15" localSheetId="1" hidden="1">0</definedName>
    <definedName name="solver_rhs16" localSheetId="1" hidden="1">'Fertilizer Optimization'!$U$46</definedName>
    <definedName name="solver_rhs17" localSheetId="1" hidden="1">'Fertilizer Optimization'!$O$18:$R$23</definedName>
    <definedName name="solver_rhs18" localSheetId="1" hidden="1">'Fertilizer Optimization'!$T$18:$W$23</definedName>
    <definedName name="solver_rhs19" localSheetId="1" hidden="1">0</definedName>
    <definedName name="solver_rhs2" localSheetId="1" hidden="1">'Fertilizer Optimization'!$T$18:$X$24</definedName>
    <definedName name="solver_rhs20" localSheetId="1" hidden="1">'Fertilizer Optimization'!$U$46</definedName>
    <definedName name="solver_rhs21" localSheetId="1" hidden="1">integer</definedName>
    <definedName name="solver_rhs22" localSheetId="1" hidden="1">integer</definedName>
    <definedName name="solver_rhs23" localSheetId="1" hidden="1">integer</definedName>
    <definedName name="solver_rhs24" localSheetId="1" hidden="1">integer</definedName>
    <definedName name="solver_rhs25" localSheetId="1" hidden="1">integer</definedName>
    <definedName name="solver_rhs26" localSheetId="1" hidden="1">'Fertilizer Optimization'!#REF!</definedName>
    <definedName name="solver_rhs3" localSheetId="1" hidden="1">'Fertilizer Optimization'!$Y$18:$AB$24</definedName>
    <definedName name="solver_rhs4" localSheetId="1" hidden="1">'Fertilizer Optimization'!$U$53</definedName>
    <definedName name="solver_rhs5" localSheetId="1" hidden="1">'Fertilizer Optimization'!$O$16:$R$21</definedName>
    <definedName name="solver_rhs6" localSheetId="1" hidden="1">'Fertilizer Optimization'!$S$16:$V$21</definedName>
    <definedName name="solver_rhs7" localSheetId="1" hidden="1">0</definedName>
    <definedName name="solver_rhs8" localSheetId="1" hidden="1">'Fertilizer Optimization'!#REF!</definedName>
    <definedName name="solver_rhs9" localSheetId="1" hidden="1">'Fertilizer Optimization'!$O$18:$R$23</definedName>
    <definedName name="solver_rlx" localSheetId="1" hidden="1">1</definedName>
    <definedName name="solver_rsd" localSheetId="1" hidden="1">0</definedName>
    <definedName name="solver_scl" localSheetId="1" hidden="1">2</definedName>
    <definedName name="solver_sho" localSheetId="1" hidden="1">2</definedName>
    <definedName name="solver_ssz" localSheetId="1" hidden="1">100</definedName>
    <definedName name="solver_tim" localSheetId="1" hidden="1">100</definedName>
    <definedName name="solver_tol" localSheetId="1" hidden="1">0.05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2" l="1"/>
  <c r="N11" i="2"/>
  <c r="N12" i="2"/>
  <c r="N13" i="2"/>
  <c r="N9" i="2"/>
  <c r="O39" i="2" l="1"/>
  <c r="C23" i="2" l="1"/>
  <c r="P86" i="2" l="1"/>
  <c r="B55" i="2" l="1"/>
  <c r="B56" i="2"/>
  <c r="B57" i="2"/>
  <c r="B58" i="2"/>
  <c r="B59" i="2"/>
  <c r="B60" i="2"/>
  <c r="B54" i="2"/>
  <c r="B45" i="2"/>
  <c r="B46" i="2"/>
  <c r="B47" i="2"/>
  <c r="B48" i="2"/>
  <c r="B49" i="2"/>
  <c r="B50" i="2"/>
  <c r="B44" i="2"/>
  <c r="N47" i="2"/>
  <c r="N48" i="2"/>
  <c r="N49" i="2"/>
  <c r="N50" i="2"/>
  <c r="N51" i="2"/>
  <c r="N52" i="2"/>
  <c r="N46" i="2"/>
  <c r="L33" i="2"/>
  <c r="L34" i="2"/>
  <c r="L35" i="2"/>
  <c r="L36" i="2"/>
  <c r="L37" i="2"/>
  <c r="L38" i="2"/>
  <c r="L32" i="2"/>
  <c r="N19" i="2"/>
  <c r="N20" i="2"/>
  <c r="N21" i="2"/>
  <c r="N22" i="2"/>
  <c r="N23" i="2"/>
  <c r="N24" i="2"/>
  <c r="N18" i="2"/>
  <c r="G43" i="2" l="1"/>
  <c r="U13" i="2" l="1"/>
  <c r="S47" i="2" s="1"/>
  <c r="S50" i="2" l="1"/>
  <c r="S46" i="2"/>
  <c r="S49" i="2"/>
  <c r="S52" i="2"/>
  <c r="S48" i="2"/>
  <c r="S51" i="2"/>
  <c r="P85" i="2"/>
  <c r="P87" i="2"/>
  <c r="P84" i="2"/>
  <c r="P80" i="2"/>
  <c r="P81" i="2"/>
  <c r="P82" i="2"/>
  <c r="P83" i="2"/>
  <c r="P76" i="2"/>
  <c r="P77" i="2"/>
  <c r="P78" i="2"/>
  <c r="P79" i="2"/>
  <c r="P72" i="2"/>
  <c r="P73" i="2"/>
  <c r="P74" i="2"/>
  <c r="P75" i="2"/>
  <c r="P68" i="2"/>
  <c r="P69" i="2"/>
  <c r="P70" i="2"/>
  <c r="P71" i="2"/>
  <c r="P64" i="2"/>
  <c r="P65" i="2"/>
  <c r="P66" i="2"/>
  <c r="P67" i="2"/>
  <c r="U12" i="2"/>
  <c r="U11" i="2"/>
  <c r="U10" i="2"/>
  <c r="U9" i="2"/>
  <c r="T10" i="2"/>
  <c r="T11" i="2"/>
  <c r="T12" i="2"/>
  <c r="T13" i="2"/>
  <c r="T9" i="2"/>
  <c r="G45" i="2"/>
  <c r="G46" i="2"/>
  <c r="G47" i="2"/>
  <c r="G48" i="2"/>
  <c r="G49" i="2"/>
  <c r="G50" i="2"/>
  <c r="G44" i="2"/>
  <c r="F45" i="2"/>
  <c r="F46" i="2"/>
  <c r="F47" i="2"/>
  <c r="F48" i="2"/>
  <c r="F49" i="2"/>
  <c r="F50" i="2"/>
  <c r="F44" i="2"/>
  <c r="U53" i="2"/>
  <c r="P39" i="2"/>
  <c r="Q39" i="2"/>
  <c r="R39" i="2"/>
  <c r="S39" i="2"/>
  <c r="R48" i="2" l="1"/>
  <c r="R52" i="2"/>
  <c r="R49" i="2"/>
  <c r="R46" i="2"/>
  <c r="R50" i="2"/>
  <c r="R47" i="2"/>
  <c r="R51" i="2"/>
  <c r="P50" i="2"/>
  <c r="P47" i="2"/>
  <c r="P51" i="2"/>
  <c r="P48" i="2"/>
  <c r="P52" i="2"/>
  <c r="P49" i="2"/>
  <c r="P46" i="2"/>
  <c r="Q49" i="2"/>
  <c r="Q46" i="2"/>
  <c r="Q50" i="2"/>
  <c r="Q47" i="2"/>
  <c r="Q51" i="2"/>
  <c r="Q48" i="2"/>
  <c r="Q52" i="2"/>
  <c r="O47" i="2"/>
  <c r="O51" i="2"/>
  <c r="O48" i="2"/>
  <c r="O52" i="2"/>
  <c r="O49" i="2"/>
  <c r="O46" i="2"/>
  <c r="O50" i="2"/>
  <c r="N38" i="2"/>
  <c r="M38" i="2"/>
  <c r="W24" i="2"/>
  <c r="V24" i="2"/>
  <c r="U24" i="2"/>
  <c r="T24" i="2"/>
  <c r="C50" i="2"/>
  <c r="D50" i="2"/>
  <c r="E50" i="2"/>
  <c r="O53" i="2" l="1"/>
  <c r="AB38" i="2"/>
  <c r="AF38" i="2" s="1"/>
  <c r="T21" i="2"/>
  <c r="T20" i="2"/>
  <c r="T22" i="2"/>
  <c r="T19" i="2"/>
  <c r="T18" i="2"/>
  <c r="V23" i="2"/>
  <c r="V22" i="2"/>
  <c r="U23" i="2"/>
  <c r="U22" i="2"/>
  <c r="P60" i="2"/>
  <c r="Q87" i="2" l="1"/>
  <c r="R87" i="2" s="1"/>
  <c r="S87" i="2" s="1"/>
  <c r="Q11" i="2"/>
  <c r="V38" i="2" s="1"/>
  <c r="R10" i="2"/>
  <c r="U38" i="2" s="1"/>
  <c r="R11" i="2"/>
  <c r="W38" i="2" s="1"/>
  <c r="S12" i="2"/>
  <c r="X38" i="2" s="1"/>
  <c r="W23" i="2" l="1"/>
  <c r="W22" i="2"/>
  <c r="W21" i="2"/>
  <c r="W20" i="2"/>
  <c r="W19" i="2"/>
  <c r="W18" i="2"/>
  <c r="V21" i="2"/>
  <c r="V20" i="2"/>
  <c r="V19" i="2"/>
  <c r="V18" i="2"/>
  <c r="U18" i="2"/>
  <c r="U19" i="2" l="1"/>
  <c r="T23" i="2" l="1"/>
  <c r="P62" i="2" l="1"/>
  <c r="S13" i="2" l="1"/>
  <c r="AA38" i="2" s="1"/>
  <c r="AE38" i="2" s="1"/>
  <c r="Q86" i="2" s="1"/>
  <c r="R86" i="2" s="1"/>
  <c r="S86" i="2" s="1"/>
  <c r="S11" i="2"/>
  <c r="S10" i="2"/>
  <c r="S9" i="2"/>
  <c r="R9" i="2"/>
  <c r="R12" i="2"/>
  <c r="R13" i="2"/>
  <c r="Z38" i="2" s="1"/>
  <c r="AD38" i="2" s="1"/>
  <c r="Q85" i="2" s="1"/>
  <c r="R85" i="2" s="1"/>
  <c r="S85" i="2" s="1"/>
  <c r="Q9" i="2"/>
  <c r="T38" i="2" s="1"/>
  <c r="Q10" i="2" l="1"/>
  <c r="Q12" i="2"/>
  <c r="Q13" i="2"/>
  <c r="Y38" i="2" s="1"/>
  <c r="AC38" i="2" s="1"/>
  <c r="Q84" i="2" s="1"/>
  <c r="R84" i="2" s="1"/>
  <c r="S84" i="2" l="1"/>
  <c r="T84" i="2" s="1"/>
  <c r="W84" i="2"/>
  <c r="C60" i="2" s="1"/>
  <c r="P61" i="2"/>
  <c r="C44" i="2"/>
  <c r="E44" i="2"/>
  <c r="D44" i="2"/>
  <c r="U21" i="2"/>
  <c r="U20" i="2"/>
  <c r="C49" i="2"/>
  <c r="C12" i="2" l="1"/>
  <c r="M36" i="2"/>
  <c r="M35" i="2"/>
  <c r="M34" i="2"/>
  <c r="M33" i="2"/>
  <c r="M32" i="2"/>
  <c r="P13" i="2"/>
  <c r="AA35" i="2" l="1"/>
  <c r="AB35" i="2"/>
  <c r="AF35" i="2" s="1"/>
  <c r="Q75" i="2" s="1"/>
  <c r="R75" i="2" s="1"/>
  <c r="AB32" i="2"/>
  <c r="AF32" i="2" s="1"/>
  <c r="T32" i="2"/>
  <c r="T36" i="2"/>
  <c r="AB36" i="2"/>
  <c r="AF36" i="2" s="1"/>
  <c r="Q79" i="2" s="1"/>
  <c r="R79" i="2" s="1"/>
  <c r="T33" i="2"/>
  <c r="AB33" i="2"/>
  <c r="AF33" i="2" s="1"/>
  <c r="Q67" i="2" s="1"/>
  <c r="R67" i="2" s="1"/>
  <c r="V34" i="2"/>
  <c r="T34" i="2"/>
  <c r="AB34" i="2"/>
  <c r="AF34" i="2" s="1"/>
  <c r="Q71" i="2" s="1"/>
  <c r="R71" i="2" s="1"/>
  <c r="V35" i="2"/>
  <c r="T35" i="2"/>
  <c r="V33" i="2"/>
  <c r="V32" i="2"/>
  <c r="W36" i="2"/>
  <c r="U36" i="2"/>
  <c r="X36" i="2"/>
  <c r="V36" i="2"/>
  <c r="AA36" i="2"/>
  <c r="Z36" i="2"/>
  <c r="Y36" i="2"/>
  <c r="Z35" i="2"/>
  <c r="X35" i="2"/>
  <c r="Y35" i="2"/>
  <c r="W35" i="2"/>
  <c r="U35" i="2"/>
  <c r="AA34" i="2"/>
  <c r="Z34" i="2"/>
  <c r="Y34" i="2"/>
  <c r="X34" i="2"/>
  <c r="W34" i="2"/>
  <c r="U34" i="2"/>
  <c r="AA33" i="2"/>
  <c r="Y33" i="2"/>
  <c r="W33" i="2"/>
  <c r="U33" i="2"/>
  <c r="Z33" i="2"/>
  <c r="X33" i="2"/>
  <c r="AA32" i="2"/>
  <c r="Z32" i="2"/>
  <c r="Y32" i="2"/>
  <c r="X32" i="2"/>
  <c r="W32" i="2"/>
  <c r="U32" i="2"/>
  <c r="S45" i="2"/>
  <c r="AA31" i="2"/>
  <c r="S31" i="2"/>
  <c r="Y31" i="2"/>
  <c r="Z31" i="2"/>
  <c r="S17" i="2"/>
  <c r="N33" i="2"/>
  <c r="N34" i="2"/>
  <c r="N35" i="2"/>
  <c r="N36" i="2"/>
  <c r="N37" i="2"/>
  <c r="N32" i="2"/>
  <c r="D45" i="2"/>
  <c r="E45" i="2"/>
  <c r="D46" i="2"/>
  <c r="E46" i="2"/>
  <c r="D47" i="2"/>
  <c r="E47" i="2"/>
  <c r="D48" i="2"/>
  <c r="E48" i="2"/>
  <c r="D49" i="2"/>
  <c r="E49" i="2"/>
  <c r="C45" i="2"/>
  <c r="C46" i="2"/>
  <c r="C47" i="2"/>
  <c r="C48" i="2"/>
  <c r="S71" i="2" l="1"/>
  <c r="S67" i="2"/>
  <c r="AE35" i="2"/>
  <c r="Q74" i="2" s="1"/>
  <c r="R74" i="2" s="1"/>
  <c r="S74" i="2" s="1"/>
  <c r="AC34" i="2"/>
  <c r="S79" i="2"/>
  <c r="S75" i="2"/>
  <c r="AC33" i="2"/>
  <c r="Q64" i="2" s="1"/>
  <c r="R64" i="2" s="1"/>
  <c r="S64" i="2" s="1"/>
  <c r="AD32" i="2"/>
  <c r="Q61" i="2" s="1"/>
  <c r="R61" i="2" s="1"/>
  <c r="AD33" i="2"/>
  <c r="Q65" i="2" s="1"/>
  <c r="R65" i="2" s="1"/>
  <c r="S65" i="2" s="1"/>
  <c r="AD34" i="2"/>
  <c r="Q69" i="2" s="1"/>
  <c r="R69" i="2" s="1"/>
  <c r="S69" i="2" s="1"/>
  <c r="AE36" i="2"/>
  <c r="Q78" i="2" s="1"/>
  <c r="R78" i="2" s="1"/>
  <c r="S78" i="2" s="1"/>
  <c r="AE32" i="2"/>
  <c r="Q62" i="2" s="1"/>
  <c r="AE34" i="2"/>
  <c r="Q70" i="2" s="1"/>
  <c r="R70" i="2" s="1"/>
  <c r="S70" i="2" s="1"/>
  <c r="AC36" i="2"/>
  <c r="Q76" i="2" s="1"/>
  <c r="R76" i="2" s="1"/>
  <c r="S76" i="2" s="1"/>
  <c r="AE33" i="2"/>
  <c r="Q66" i="2" s="1"/>
  <c r="R66" i="2" s="1"/>
  <c r="S66" i="2" s="1"/>
  <c r="AD35" i="2"/>
  <c r="Q73" i="2" s="1"/>
  <c r="R73" i="2" s="1"/>
  <c r="S73" i="2" s="1"/>
  <c r="AC32" i="2"/>
  <c r="AD36" i="2"/>
  <c r="Q77" i="2" s="1"/>
  <c r="R77" i="2" s="1"/>
  <c r="S77" i="2" s="1"/>
  <c r="AC35" i="2"/>
  <c r="Q72" i="2" s="1"/>
  <c r="R72" i="2" s="1"/>
  <c r="T52" i="2"/>
  <c r="U84" i="2" s="1"/>
  <c r="V84" i="2" s="1"/>
  <c r="X84" i="2" s="1"/>
  <c r="D60" i="2" s="1"/>
  <c r="S53" i="2"/>
  <c r="Q68" i="2" l="1"/>
  <c r="R68" i="2" s="1"/>
  <c r="T46" i="2"/>
  <c r="U60" i="2" s="1"/>
  <c r="T49" i="2"/>
  <c r="U72" i="2" s="1"/>
  <c r="T48" i="2"/>
  <c r="U68" i="2" s="1"/>
  <c r="T47" i="2"/>
  <c r="U64" i="2" s="1"/>
  <c r="T64" i="2"/>
  <c r="Q60" i="2"/>
  <c r="W72" i="2"/>
  <c r="C57" i="2" s="1"/>
  <c r="S72" i="2"/>
  <c r="T72" i="2" s="1"/>
  <c r="W76" i="2"/>
  <c r="C58" i="2" s="1"/>
  <c r="W64" i="2"/>
  <c r="C55" i="2" s="1"/>
  <c r="T76" i="2"/>
  <c r="R53" i="2"/>
  <c r="Q53" i="2"/>
  <c r="P53" i="2"/>
  <c r="T50" i="2"/>
  <c r="U76" i="2" s="1"/>
  <c r="M37" i="2"/>
  <c r="P63" i="2"/>
  <c r="Q63" i="2" s="1"/>
  <c r="S68" i="2" l="1"/>
  <c r="T68" i="2" s="1"/>
  <c r="V68" i="2" s="1"/>
  <c r="X68" i="2" s="1"/>
  <c r="D56" i="2" s="1"/>
  <c r="W68" i="2"/>
  <c r="C56" i="2" s="1"/>
  <c r="AB37" i="2"/>
  <c r="AF37" i="2" s="1"/>
  <c r="Q83" i="2" s="1"/>
  <c r="R83" i="2" s="1"/>
  <c r="S83" i="2" s="1"/>
  <c r="O40" i="2"/>
  <c r="C51" i="2" s="1"/>
  <c r="T51" i="2"/>
  <c r="U80" i="2" s="1"/>
  <c r="U98" i="2" s="1"/>
  <c r="V64" i="2"/>
  <c r="X64" i="2" s="1"/>
  <c r="D55" i="2" s="1"/>
  <c r="V72" i="2"/>
  <c r="X72" i="2" s="1"/>
  <c r="D57" i="2" s="1"/>
  <c r="V76" i="2"/>
  <c r="X76" i="2" s="1"/>
  <c r="D58" i="2" s="1"/>
  <c r="T37" i="2"/>
  <c r="S40" i="2"/>
  <c r="G51" i="2" s="1"/>
  <c r="Q40" i="2"/>
  <c r="E51" i="2" s="1"/>
  <c r="P40" i="2"/>
  <c r="D51" i="2" s="1"/>
  <c r="R40" i="2"/>
  <c r="F51" i="2" s="1"/>
  <c r="W37" i="2"/>
  <c r="W39" i="2" s="1"/>
  <c r="X37" i="2"/>
  <c r="AA37" i="2"/>
  <c r="AA39" i="2" s="1"/>
  <c r="Y37" i="2"/>
  <c r="Y39" i="2" s="1"/>
  <c r="U37" i="2"/>
  <c r="Z37" i="2"/>
  <c r="Z39" i="2" s="1"/>
  <c r="V37" i="2"/>
  <c r="V39" i="2" s="1"/>
  <c r="AF39" i="2" l="1"/>
  <c r="T53" i="2"/>
  <c r="T39" i="2"/>
  <c r="AC37" i="2"/>
  <c r="U39" i="2"/>
  <c r="AD37" i="2"/>
  <c r="X39" i="2"/>
  <c r="AE37" i="2"/>
  <c r="R60" i="2"/>
  <c r="S60" i="2" s="1"/>
  <c r="R62" i="2"/>
  <c r="S62" i="2" s="1"/>
  <c r="S61" i="2"/>
  <c r="Q82" i="2" l="1"/>
  <c r="R82" i="2" s="1"/>
  <c r="S82" i="2" s="1"/>
  <c r="AE39" i="2"/>
  <c r="Q80" i="2"/>
  <c r="R80" i="2" s="1"/>
  <c r="AC39" i="2"/>
  <c r="Q81" i="2"/>
  <c r="R81" i="2" s="1"/>
  <c r="S81" i="2" s="1"/>
  <c r="AD39" i="2"/>
  <c r="AB39" i="2"/>
  <c r="R63" i="2"/>
  <c r="S80" i="2" l="1"/>
  <c r="T80" i="2" s="1"/>
  <c r="V80" i="2" s="1"/>
  <c r="X80" i="2" s="1"/>
  <c r="D59" i="2" s="1"/>
  <c r="W80" i="2"/>
  <c r="C59" i="2" s="1"/>
  <c r="S63" i="2"/>
  <c r="T60" i="2" s="1"/>
  <c r="W60" i="2"/>
  <c r="C54" i="2" s="1"/>
  <c r="V60" i="2" l="1"/>
  <c r="V98" i="2" s="1"/>
  <c r="C62" i="2" s="1"/>
  <c r="T98" i="2"/>
  <c r="X60" i="2" l="1"/>
  <c r="D5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s-jjansen7</author>
  </authors>
  <commentList>
    <comment ref="C15" authorId="0" shapeId="0" xr:uid="{00000000-0006-0000-0100-000001000000}">
      <text>
        <r>
          <rPr>
            <b/>
            <sz val="12"/>
            <color indexed="81"/>
            <rFont val="Tahoma"/>
            <family val="2"/>
          </rPr>
          <t xml:space="preserve">* </t>
        </r>
        <r>
          <rPr>
            <sz val="12"/>
            <color indexed="81"/>
            <rFont val="Tahoma"/>
            <family val="2"/>
          </rPr>
          <t>Enter zero for any crops not being planted.</t>
        </r>
      </text>
    </comment>
    <comment ref="D15" authorId="0" shapeId="0" xr:uid="{00000000-0006-0000-0100-000002000000}">
      <text>
        <r>
          <rPr>
            <b/>
            <sz val="12"/>
            <color indexed="81"/>
            <rFont val="Tahoma"/>
            <family val="2"/>
          </rPr>
          <t xml:space="preserve">† </t>
        </r>
        <r>
          <rPr>
            <sz val="12"/>
            <color indexed="81"/>
            <rFont val="Tahoma"/>
            <family val="2"/>
          </rPr>
          <t>Actual selling price (value of crops not sold) minus costs of harvest, storage, transportation and marketing.</t>
        </r>
      </text>
    </comment>
    <comment ref="G25" authorId="0" shapeId="0" xr:uid="{00000000-0006-0000-0100-000003000000}">
      <text>
        <r>
          <rPr>
            <b/>
            <sz val="12"/>
            <color indexed="81"/>
            <rFont val="Tahoma"/>
            <family val="2"/>
          </rPr>
          <t xml:space="preserve">¶ </t>
        </r>
        <r>
          <rPr>
            <sz val="12"/>
            <color indexed="81"/>
            <rFont val="Tahoma"/>
            <family val="2"/>
          </rPr>
          <t>Enter the total price of the fertilizer product in a 50 kg bag including  procurement costs.</t>
        </r>
        <r>
          <rPr>
            <b/>
            <sz val="12"/>
            <color indexed="81"/>
            <rFont val="Tahoma"/>
            <family val="2"/>
          </rPr>
          <t xml:space="preserve">
* </t>
        </r>
        <r>
          <rPr>
            <sz val="12"/>
            <color indexed="81"/>
            <rFont val="Tahoma"/>
            <family val="2"/>
          </rPr>
          <t>Enter zero for any fertilize product not being used.</t>
        </r>
      </text>
    </comment>
  </commentList>
</comments>
</file>

<file path=xl/sharedStrings.xml><?xml version="1.0" encoding="utf-8"?>
<sst xmlns="http://schemas.openxmlformats.org/spreadsheetml/2006/main" count="170" uniqueCount="150">
  <si>
    <t>Functions</t>
  </si>
  <si>
    <t>Net Return</t>
  </si>
  <si>
    <t>Fert Costs</t>
  </si>
  <si>
    <t>Value/kg</t>
  </si>
  <si>
    <t>Crop Selection and Prices</t>
  </si>
  <si>
    <t>Crop</t>
  </si>
  <si>
    <t>Area Planted 
(Ha)*</t>
  </si>
  <si>
    <t>Fertilizer Selection and Prices</t>
  </si>
  <si>
    <t>Fertilizer Product</t>
  </si>
  <si>
    <t>Urea</t>
  </si>
  <si>
    <t>Budget Constraint</t>
  </si>
  <si>
    <t>Amount available to invest in fertilizer</t>
  </si>
  <si>
    <t>TSP</t>
  </si>
  <si>
    <t>DAP</t>
  </si>
  <si>
    <t>KCL</t>
  </si>
  <si>
    <t>Fertilizer</t>
  </si>
  <si>
    <t>Nitrogen</t>
  </si>
  <si>
    <t>Potassium</t>
  </si>
  <si>
    <t>Phosphorous</t>
  </si>
  <si>
    <t>KCl</t>
  </si>
  <si>
    <t>Ha Planted</t>
  </si>
  <si>
    <t>Urea Min</t>
  </si>
  <si>
    <t>TSP Min</t>
  </si>
  <si>
    <t>DAP Min</t>
  </si>
  <si>
    <t>KCl Min</t>
  </si>
  <si>
    <t>Urea Max</t>
  </si>
  <si>
    <t>TSP Max</t>
  </si>
  <si>
    <t>DAP Max</t>
  </si>
  <si>
    <t>KCl Max</t>
  </si>
  <si>
    <t xml:space="preserve">Fertilizer Constraints </t>
  </si>
  <si>
    <t>Fertilizer Units Applied/Ha</t>
  </si>
  <si>
    <t>Area Planted and Price</t>
  </si>
  <si>
    <t>Sum</t>
  </si>
  <si>
    <t>Price/kg</t>
  </si>
  <si>
    <t>Urea kg (N)</t>
  </si>
  <si>
    <t>TSP kg (P)</t>
  </si>
  <si>
    <t>DAP kg (N)</t>
  </si>
  <si>
    <t>DAP kg (P)</t>
  </si>
  <si>
    <t>KCl kg (K)</t>
  </si>
  <si>
    <t>Individual Net Value</t>
  </si>
  <si>
    <t>Net Value per Fertilizer</t>
  </si>
  <si>
    <t>Application Rate - kg/Ha</t>
  </si>
  <si>
    <t>Net Returns</t>
  </si>
  <si>
    <t>Base Production</t>
  </si>
  <si>
    <t>Returns and Expenses</t>
  </si>
  <si>
    <t>Expected Yield Kg</t>
  </si>
  <si>
    <t>Crop and Yield Responses</t>
  </si>
  <si>
    <t xml:space="preserve">Fertilizer Cost </t>
  </si>
  <si>
    <t xml:space="preserve">Urea </t>
  </si>
  <si>
    <t xml:space="preserve">TSP </t>
  </si>
  <si>
    <t xml:space="preserve">DAP </t>
  </si>
  <si>
    <t xml:space="preserve">KCl </t>
  </si>
  <si>
    <t>Accumulated Sums</t>
  </si>
  <si>
    <t xml:space="preserve"> Net Value</t>
  </si>
  <si>
    <t xml:space="preserve"> Fertilizer Cost</t>
  </si>
  <si>
    <t xml:space="preserve"> Net Returns</t>
  </si>
  <si>
    <t xml:space="preserve">Urea kg </t>
  </si>
  <si>
    <t xml:space="preserve">Expected  Change </t>
  </si>
  <si>
    <t>Abbreviation</t>
  </si>
  <si>
    <t>N Sum</t>
  </si>
  <si>
    <t>P Sum</t>
  </si>
  <si>
    <t>Fertilizer Totals</t>
  </si>
  <si>
    <t>K Sum</t>
  </si>
  <si>
    <t>Yield Increases</t>
  </si>
  <si>
    <t>1) Locate the Security Warning for the spreadsheet underneath the excel toolbar.</t>
  </si>
  <si>
    <t>2) Click on the options button near the security warning.</t>
  </si>
  <si>
    <t>3) After clicking options, the Security Alert - Macro will appear, next click Enable this content and select Ok.</t>
  </si>
  <si>
    <t>Fertilizer Optimization</t>
  </si>
  <si>
    <t>N</t>
  </si>
  <si>
    <t>Murate of potash, KCL</t>
  </si>
  <si>
    <t>Diammonium phosphate, DAP</t>
  </si>
  <si>
    <t>Triple super phosphate, TSP</t>
  </si>
  <si>
    <t>P2O5</t>
  </si>
  <si>
    <t>K2O</t>
  </si>
  <si>
    <t>Producer Name:</t>
  </si>
  <si>
    <t>Prepared By:</t>
  </si>
  <si>
    <t>Date Prepared:</t>
  </si>
  <si>
    <t>1) Click the Office 2007 round icon (or File in Office 2010) and select Excel Options.</t>
  </si>
  <si>
    <t>2) Select the Add-Ins Tab and select Go.</t>
  </si>
  <si>
    <t>Fertilizer Amount</t>
  </si>
  <si>
    <t xml:space="preserve">TSP kg </t>
  </si>
  <si>
    <t xml:space="preserve">DAP kg </t>
  </si>
  <si>
    <t xml:space="preserve">KCl kg </t>
  </si>
  <si>
    <t>xxx</t>
  </si>
  <si>
    <t>Steps required to enable macro features:</t>
  </si>
  <si>
    <t xml:space="preserve"> </t>
  </si>
  <si>
    <t xml:space="preserve">3) When the Add-Ins window appears, selected the Solver Add-In checkbox and click ok. </t>
  </si>
  <si>
    <t>This excel workbook must have the macro features and Solver Add-Ins enabled  to function.</t>
  </si>
  <si>
    <t>Steps required to enable Solver Add-Inns:</t>
  </si>
  <si>
    <t>Fertilizer Cost/Crop</t>
  </si>
  <si>
    <t>Total net returns to investment in fertilizer</t>
  </si>
  <si>
    <t>Total Expected Net Returns to Fertilizer</t>
  </si>
  <si>
    <t>Expected 
Grain Value/kg †</t>
  </si>
  <si>
    <t>Expected Average Effects per Ha</t>
  </si>
  <si>
    <t>Total fertilizer needed</t>
  </si>
  <si>
    <t>Output Variable - kg/Ha</t>
  </si>
  <si>
    <t>© 2015, The Board of Regents of the University of Nebraska. All rights reserved.</t>
  </si>
  <si>
    <t>Coffecient a</t>
  </si>
  <si>
    <t>Coefficient b</t>
  </si>
  <si>
    <t>Coefficient c</t>
  </si>
  <si>
    <t>Total</t>
  </si>
  <si>
    <t>Total Fertilizer needed</t>
  </si>
  <si>
    <t>Zn</t>
  </si>
  <si>
    <t>Zn sum</t>
  </si>
  <si>
    <t>xxx kg (Zn)</t>
  </si>
  <si>
    <t>ZnSO4 Max</t>
  </si>
  <si>
    <t>Costs/50 kg bag ¶*</t>
  </si>
  <si>
    <t>Maize</t>
  </si>
  <si>
    <t>Maize N</t>
  </si>
  <si>
    <t>Maize P</t>
  </si>
  <si>
    <t>Maize  K</t>
  </si>
  <si>
    <t>Maize  Zn</t>
  </si>
  <si>
    <t>Fertilizer Nutrient Total Maxes</t>
  </si>
  <si>
    <t>Bean</t>
  </si>
  <si>
    <t>NPK</t>
  </si>
  <si>
    <t>Finger millet N</t>
  </si>
  <si>
    <t>Finger millet P</t>
  </si>
  <si>
    <t xml:space="preserve">Beans N </t>
  </si>
  <si>
    <t>Beans P</t>
  </si>
  <si>
    <t>Finger millet K</t>
  </si>
  <si>
    <t>Bean K</t>
  </si>
  <si>
    <t>Bean Zn</t>
  </si>
  <si>
    <t>Credits: Kayuki C. Kaizzi et al. of the National Agricultural Research Laboratories-Kawanda, National Agricultural Research Organization and Makerere University; and Charles Wortmann, Jim Jansen, and Matthew Stockton, University of Nebraska-Lincoln</t>
  </si>
  <si>
    <t>For information, contact: Dr. Kayuki C. Kaizzi, NARL-NARO, kckaizzi@gmail.com or karidir@infocom.co.ug or landuse@infocom.co.ug</t>
  </si>
  <si>
    <t>Acknowledgements: support of personnel from the Uganda Ministry of Agriculture, Animal Industry, and Fisheries; and funding support from the Alliance for a  Green Revolution in Africa--Soil Health Programme, INTSORMIL-USAID, and University of Nebraska-Lincoln.</t>
  </si>
  <si>
    <t>Sorghum N</t>
  </si>
  <si>
    <t>Sorghum P</t>
  </si>
  <si>
    <t>Sorghum K</t>
  </si>
  <si>
    <t>Sorghum Zn</t>
  </si>
  <si>
    <t>Sorghum</t>
  </si>
  <si>
    <t>Finger millet Zn</t>
  </si>
  <si>
    <t>Finger millet</t>
  </si>
  <si>
    <t>Banana N</t>
  </si>
  <si>
    <t>Banana P</t>
  </si>
  <si>
    <t>Banana K</t>
  </si>
  <si>
    <t>Banana Zn</t>
  </si>
  <si>
    <t>Banana</t>
  </si>
  <si>
    <t>Irish potato N</t>
  </si>
  <si>
    <t>Irish potato P</t>
  </si>
  <si>
    <t>Irish potato K</t>
  </si>
  <si>
    <t>Irish potato Zn</t>
  </si>
  <si>
    <t>Irish potato</t>
  </si>
  <si>
    <t>Wheat N</t>
  </si>
  <si>
    <t>Wheat P</t>
  </si>
  <si>
    <t>Wheat K</t>
  </si>
  <si>
    <t>Wheat Zn</t>
  </si>
  <si>
    <t xml:space="preserve">Wheat </t>
  </si>
  <si>
    <t>South Western Highland: above 1800 m asl</t>
  </si>
  <si>
    <t xml:space="preserve"> (Kabale – Rukungiri Highlands, </t>
  </si>
  <si>
    <t xml:space="preserve"> Kabale – Kisoro Highlands)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</si>
</sst>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[$£-452]#,##0.00"/>
    <numFmt numFmtId="165" formatCode="0.0%"/>
    <numFmt numFmtId="166" formatCode="0.0"/>
    <numFmt numFmtId="167" formatCode="[$-409]mmmm\ d\,\ yy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Calibri"/>
      <family val="2"/>
      <scheme val="minor"/>
    </font>
    <font>
      <b/>
      <sz val="14"/>
      <color theme="0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1"/>
      <color rgb="FFDDF456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</font>
    <font>
      <sz val="11"/>
      <color rgb="FF00B0F0"/>
      <name val="Arial"/>
      <family val="2"/>
    </font>
    <font>
      <b/>
      <sz val="14"/>
      <color rgb="FF000000"/>
      <name val="Calibri"/>
      <family val="2"/>
    </font>
    <font>
      <b/>
      <sz val="14"/>
      <color theme="1" tint="4.9989318521683403E-2"/>
      <name val="Arial"/>
      <family val="2"/>
    </font>
    <font>
      <sz val="14"/>
      <color theme="1" tint="4.9989318521683403E-2"/>
      <name val="Arial"/>
      <family val="2"/>
    </font>
    <font>
      <sz val="11"/>
      <color theme="1" tint="4.9989318521683403E-2"/>
      <name val="Arial"/>
      <family val="2"/>
    </font>
    <font>
      <sz val="20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DDF456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232">
    <xf numFmtId="0" fontId="0" fillId="0" borderId="0" xfId="0"/>
    <xf numFmtId="0" fontId="2" fillId="0" borderId="7" xfId="1" applyBorder="1"/>
    <xf numFmtId="0" fontId="4" fillId="4" borderId="10" xfId="1" applyFont="1" applyFill="1" applyBorder="1" applyAlignment="1">
      <alignment horizontal="center" vertical="center" wrapText="1"/>
    </xf>
    <xf numFmtId="0" fontId="4" fillId="4" borderId="13" xfId="1" applyFont="1" applyFill="1" applyBorder="1" applyAlignment="1">
      <alignment horizontal="center" vertical="center" wrapText="1"/>
    </xf>
    <xf numFmtId="0" fontId="5" fillId="4" borderId="6" xfId="1" applyFont="1" applyFill="1" applyBorder="1" applyAlignment="1">
      <alignment horizontal="left"/>
    </xf>
    <xf numFmtId="0" fontId="5" fillId="4" borderId="8" xfId="1" applyFont="1" applyFill="1" applyBorder="1" applyAlignment="1">
      <alignment horizontal="left"/>
    </xf>
    <xf numFmtId="1" fontId="5" fillId="5" borderId="2" xfId="1" applyNumberFormat="1" applyFont="1" applyFill="1" applyBorder="1" applyAlignment="1">
      <alignment horizontal="center"/>
    </xf>
    <xf numFmtId="3" fontId="5" fillId="5" borderId="2" xfId="1" applyNumberFormat="1" applyFont="1" applyFill="1" applyBorder="1" applyAlignment="1">
      <alignment horizontal="center"/>
    </xf>
    <xf numFmtId="0" fontId="5" fillId="4" borderId="8" xfId="1" applyFont="1" applyFill="1" applyBorder="1" applyAlignment="1">
      <alignment wrapText="1"/>
    </xf>
    <xf numFmtId="0" fontId="5" fillId="5" borderId="8" xfId="1" applyFont="1" applyFill="1" applyBorder="1" applyAlignment="1">
      <alignment wrapText="1"/>
    </xf>
    <xf numFmtId="0" fontId="3" fillId="6" borderId="0" xfId="1" applyFont="1" applyFill="1"/>
    <xf numFmtId="0" fontId="6" fillId="6" borderId="0" xfId="0" applyFont="1" applyFill="1"/>
    <xf numFmtId="0" fontId="5" fillId="6" borderId="0" xfId="1" applyFont="1" applyFill="1"/>
    <xf numFmtId="0" fontId="5" fillId="6" borderId="0" xfId="1" applyFont="1" applyFill="1" applyAlignment="1">
      <alignment horizontal="left" wrapText="1"/>
    </xf>
    <xf numFmtId="0" fontId="3" fillId="6" borderId="0" xfId="1" applyFont="1" applyFill="1" applyAlignment="1">
      <alignment horizontal="center"/>
    </xf>
    <xf numFmtId="0" fontId="2" fillId="6" borderId="0" xfId="1" applyFill="1" applyAlignment="1">
      <alignment horizontal="center"/>
    </xf>
    <xf numFmtId="0" fontId="2" fillId="6" borderId="0" xfId="1" applyFill="1"/>
    <xf numFmtId="0" fontId="5" fillId="4" borderId="4" xfId="1" applyFont="1" applyFill="1" applyBorder="1" applyAlignment="1">
      <alignment horizontal="left"/>
    </xf>
    <xf numFmtId="0" fontId="9" fillId="4" borderId="1" xfId="0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center" vertical="center" wrapText="1"/>
    </xf>
    <xf numFmtId="0" fontId="2" fillId="0" borderId="5" xfId="1" applyBorder="1"/>
    <xf numFmtId="0" fontId="2" fillId="0" borderId="7" xfId="1" applyBorder="1" applyAlignment="1">
      <alignment horizontal="left" vertical="center"/>
    </xf>
    <xf numFmtId="0" fontId="4" fillId="5" borderId="8" xfId="1" applyFont="1" applyFill="1" applyBorder="1" applyAlignment="1">
      <alignment horizontal="center"/>
    </xf>
    <xf numFmtId="0" fontId="8" fillId="6" borderId="0" xfId="1" applyFont="1" applyFill="1" applyAlignment="1">
      <alignment horizontal="left" wrapText="1"/>
    </xf>
    <xf numFmtId="0" fontId="12" fillId="6" borderId="0" xfId="0" applyFont="1" applyFill="1"/>
    <xf numFmtId="9" fontId="5" fillId="0" borderId="1" xfId="4" applyFont="1" applyBorder="1" applyAlignment="1" applyProtection="1">
      <alignment horizontal="center"/>
      <protection locked="0"/>
    </xf>
    <xf numFmtId="9" fontId="5" fillId="0" borderId="1" xfId="4" applyFont="1" applyFill="1" applyBorder="1" applyAlignment="1" applyProtection="1">
      <alignment horizontal="center"/>
      <protection locked="0"/>
    </xf>
    <xf numFmtId="9" fontId="5" fillId="0" borderId="2" xfId="4" applyFont="1" applyBorder="1" applyAlignment="1" applyProtection="1">
      <alignment horizontal="center"/>
      <protection locked="0"/>
    </xf>
    <xf numFmtId="9" fontId="5" fillId="0" borderId="2" xfId="4" applyFont="1" applyFill="1" applyBorder="1" applyAlignment="1" applyProtection="1">
      <alignment horizontal="center"/>
      <protection locked="0"/>
    </xf>
    <xf numFmtId="0" fontId="5" fillId="6" borderId="0" xfId="1" applyFont="1" applyFill="1" applyAlignment="1">
      <alignment horizontal="left" vertical="top" wrapText="1"/>
    </xf>
    <xf numFmtId="0" fontId="4" fillId="5" borderId="8" xfId="1" applyFont="1" applyFill="1" applyBorder="1" applyAlignment="1">
      <alignment horizontal="left"/>
    </xf>
    <xf numFmtId="0" fontId="4" fillId="5" borderId="10" xfId="1" applyFont="1" applyFill="1" applyBorder="1" applyAlignment="1">
      <alignment horizontal="center"/>
    </xf>
    <xf numFmtId="0" fontId="4" fillId="5" borderId="11" xfId="1" applyFont="1" applyFill="1" applyBorder="1" applyAlignment="1">
      <alignment horizontal="left" vertical="center"/>
    </xf>
    <xf numFmtId="0" fontId="4" fillId="4" borderId="4" xfId="1" applyFont="1" applyFill="1" applyBorder="1" applyAlignment="1">
      <alignment horizontal="left" vertical="center"/>
    </xf>
    <xf numFmtId="0" fontId="4" fillId="4" borderId="11" xfId="1" applyFont="1" applyFill="1" applyBorder="1" applyAlignment="1">
      <alignment horizontal="left" vertical="center"/>
    </xf>
    <xf numFmtId="0" fontId="4" fillId="5" borderId="10" xfId="1" applyFont="1" applyFill="1" applyBorder="1" applyAlignment="1">
      <alignment horizontal="center" vertical="center" wrapText="1"/>
    </xf>
    <xf numFmtId="0" fontId="4" fillId="5" borderId="13" xfId="1" applyFont="1" applyFill="1" applyBorder="1" applyAlignment="1">
      <alignment horizontal="center" vertical="center" wrapText="1"/>
    </xf>
    <xf numFmtId="0" fontId="13" fillId="6" borderId="0" xfId="0" applyFont="1" applyFill="1"/>
    <xf numFmtId="0" fontId="13" fillId="0" borderId="0" xfId="0" applyFont="1"/>
    <xf numFmtId="0" fontId="13" fillId="0" borderId="4" xfId="0" applyFont="1" applyBorder="1"/>
    <xf numFmtId="0" fontId="13" fillId="0" borderId="5" xfId="0" applyFont="1" applyBorder="1"/>
    <xf numFmtId="0" fontId="13" fillId="0" borderId="1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165" fontId="13" fillId="0" borderId="4" xfId="4" applyNumberFormat="1" applyFont="1" applyBorder="1" applyAlignment="1">
      <alignment horizontal="center"/>
    </xf>
    <xf numFmtId="0" fontId="9" fillId="6" borderId="0" xfId="0" applyFont="1" applyFill="1" applyAlignment="1">
      <alignment horizontal="right"/>
    </xf>
    <xf numFmtId="0" fontId="13" fillId="0" borderId="6" xfId="0" applyFont="1" applyBorder="1" applyAlignment="1">
      <alignment horizontal="center"/>
    </xf>
    <xf numFmtId="165" fontId="13" fillId="0" borderId="6" xfId="4" applyNumberFormat="1" applyFont="1" applyBorder="1" applyAlignment="1">
      <alignment horizontal="center"/>
    </xf>
    <xf numFmtId="165" fontId="13" fillId="0" borderId="0" xfId="4" applyNumberFormat="1" applyFont="1" applyBorder="1" applyAlignment="1">
      <alignment horizont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/>
    <xf numFmtId="0" fontId="13" fillId="0" borderId="8" xfId="0" applyFont="1" applyBorder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2" fontId="13" fillId="0" borderId="4" xfId="0" applyNumberFormat="1" applyFont="1" applyBorder="1" applyAlignment="1">
      <alignment horizontal="center"/>
    </xf>
    <xf numFmtId="2" fontId="13" fillId="0" borderId="14" xfId="0" applyNumberFormat="1" applyFont="1" applyBorder="1" applyAlignment="1">
      <alignment horizontal="center"/>
    </xf>
    <xf numFmtId="2" fontId="13" fillId="0" borderId="6" xfId="0" applyNumberFormat="1" applyFont="1" applyBorder="1" applyAlignment="1">
      <alignment horizontal="center"/>
    </xf>
    <xf numFmtId="2" fontId="13" fillId="0" borderId="0" xfId="0" applyNumberFormat="1" applyFont="1" applyAlignment="1">
      <alignment horizontal="center"/>
    </xf>
    <xf numFmtId="0" fontId="13" fillId="0" borderId="10" xfId="0" applyFont="1" applyBorder="1"/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166" fontId="13" fillId="0" borderId="6" xfId="0" applyNumberFormat="1" applyFont="1" applyBorder="1" applyAlignment="1" applyProtection="1">
      <alignment horizontal="center"/>
      <protection locked="0"/>
    </xf>
    <xf numFmtId="166" fontId="13" fillId="0" borderId="0" xfId="0" applyNumberFormat="1" applyFont="1" applyAlignment="1" applyProtection="1">
      <alignment horizontal="center"/>
      <protection locked="0"/>
    </xf>
    <xf numFmtId="1" fontId="13" fillId="0" borderId="6" xfId="0" applyNumberFormat="1" applyFont="1" applyBorder="1" applyAlignment="1">
      <alignment horizontal="center"/>
    </xf>
    <xf numFmtId="1" fontId="13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166" fontId="13" fillId="0" borderId="6" xfId="0" applyNumberFormat="1" applyFont="1" applyBorder="1" applyAlignment="1" applyProtection="1">
      <alignment horizontal="center" vertical="center"/>
      <protection locked="0"/>
    </xf>
    <xf numFmtId="166" fontId="13" fillId="0" borderId="0" xfId="0" applyNumberFormat="1" applyFont="1" applyAlignment="1" applyProtection="1">
      <alignment horizontal="center" vertical="center"/>
      <protection locked="0"/>
    </xf>
    <xf numFmtId="0" fontId="14" fillId="6" borderId="0" xfId="0" applyFont="1" applyFill="1"/>
    <xf numFmtId="0" fontId="13" fillId="0" borderId="3" xfId="0" applyFont="1" applyBorder="1"/>
    <xf numFmtId="0" fontId="13" fillId="0" borderId="3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2" fontId="2" fillId="6" borderId="0" xfId="1" applyNumberFormat="1" applyFill="1" applyAlignment="1">
      <alignment horizontal="center"/>
    </xf>
    <xf numFmtId="166" fontId="13" fillId="0" borderId="0" xfId="0" applyNumberFormat="1" applyFont="1"/>
    <xf numFmtId="3" fontId="2" fillId="6" borderId="0" xfId="1" applyNumberFormat="1" applyFill="1" applyAlignment="1">
      <alignment horizontal="center"/>
    </xf>
    <xf numFmtId="164" fontId="2" fillId="6" borderId="0" xfId="1" applyNumberFormat="1" applyFill="1"/>
    <xf numFmtId="0" fontId="5" fillId="0" borderId="10" xfId="1" applyFont="1" applyBorder="1" applyAlignment="1" applyProtection="1">
      <alignment horizontal="center"/>
      <protection locked="0"/>
    </xf>
    <xf numFmtId="165" fontId="13" fillId="0" borderId="14" xfId="4" applyNumberFormat="1" applyFont="1" applyFill="1" applyBorder="1" applyAlignment="1">
      <alignment horizontal="center"/>
    </xf>
    <xf numFmtId="165" fontId="13" fillId="0" borderId="5" xfId="4" applyNumberFormat="1" applyFont="1" applyFill="1" applyBorder="1" applyAlignment="1">
      <alignment horizontal="center"/>
    </xf>
    <xf numFmtId="165" fontId="13" fillId="0" borderId="0" xfId="4" applyNumberFormat="1" applyFont="1" applyFill="1" applyBorder="1" applyAlignment="1">
      <alignment horizontal="center"/>
    </xf>
    <xf numFmtId="165" fontId="13" fillId="0" borderId="7" xfId="4" applyNumberFormat="1" applyFont="1" applyFill="1" applyBorder="1" applyAlignment="1">
      <alignment horizontal="center"/>
    </xf>
    <xf numFmtId="1" fontId="13" fillId="0" borderId="6" xfId="0" applyNumberFormat="1" applyFont="1" applyBorder="1" applyAlignment="1">
      <alignment horizontal="center" vertical="center"/>
    </xf>
    <xf numFmtId="1" fontId="13" fillId="0" borderId="0" xfId="0" applyNumberFormat="1" applyFont="1" applyAlignment="1">
      <alignment horizontal="center" vertical="center"/>
    </xf>
    <xf numFmtId="166" fontId="13" fillId="0" borderId="1" xfId="0" applyNumberFormat="1" applyFont="1" applyBorder="1" applyAlignment="1">
      <alignment horizontal="center"/>
    </xf>
    <xf numFmtId="166" fontId="13" fillId="0" borderId="2" xfId="0" applyNumberFormat="1" applyFont="1" applyBorder="1" applyAlignment="1">
      <alignment horizontal="center"/>
    </xf>
    <xf numFmtId="166" fontId="13" fillId="0" borderId="3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0" xfId="0" quotePrefix="1" applyFont="1"/>
    <xf numFmtId="165" fontId="13" fillId="0" borderId="6" xfId="4" applyNumberFormat="1" applyFont="1" applyFill="1" applyBorder="1" applyAlignment="1">
      <alignment horizontal="center"/>
    </xf>
    <xf numFmtId="0" fontId="16" fillId="0" borderId="0" xfId="0" applyFont="1" applyAlignment="1">
      <alignment horizontal="right" wrapText="1"/>
    </xf>
    <xf numFmtId="0" fontId="5" fillId="4" borderId="11" xfId="1" applyFont="1" applyFill="1" applyBorder="1" applyAlignment="1">
      <alignment horizontal="left" vertical="center"/>
    </xf>
    <xf numFmtId="0" fontId="17" fillId="6" borderId="0" xfId="0" applyFont="1" applyFill="1"/>
    <xf numFmtId="0" fontId="5" fillId="6" borderId="10" xfId="1" applyFont="1" applyFill="1" applyBorder="1"/>
    <xf numFmtId="0" fontId="4" fillId="6" borderId="10" xfId="1" applyFont="1" applyFill="1" applyBorder="1"/>
    <xf numFmtId="2" fontId="13" fillId="0" borderId="10" xfId="0" applyNumberFormat="1" applyFont="1" applyBorder="1" applyAlignment="1">
      <alignment horizontal="center"/>
    </xf>
    <xf numFmtId="1" fontId="13" fillId="0" borderId="10" xfId="0" applyNumberFormat="1" applyFont="1" applyBorder="1" applyAlignment="1">
      <alignment horizontal="center"/>
    </xf>
    <xf numFmtId="2" fontId="13" fillId="0" borderId="10" xfId="0" applyNumberFormat="1" applyFont="1" applyBorder="1"/>
    <xf numFmtId="1" fontId="13" fillId="0" borderId="10" xfId="0" applyNumberFormat="1" applyFont="1" applyBorder="1"/>
    <xf numFmtId="0" fontId="16" fillId="0" borderId="10" xfId="0" applyFont="1" applyBorder="1" applyAlignment="1">
      <alignment horizontal="left" wrapText="1"/>
    </xf>
    <xf numFmtId="166" fontId="13" fillId="0" borderId="10" xfId="0" applyNumberFormat="1" applyFont="1" applyBorder="1" applyAlignment="1">
      <alignment horizontal="center"/>
    </xf>
    <xf numFmtId="4" fontId="13" fillId="0" borderId="10" xfId="0" applyNumberFormat="1" applyFont="1" applyBorder="1" applyAlignment="1">
      <alignment horizontal="center"/>
    </xf>
    <xf numFmtId="0" fontId="18" fillId="0" borderId="0" xfId="0" applyFont="1"/>
    <xf numFmtId="0" fontId="18" fillId="0" borderId="10" xfId="0" applyFont="1" applyBorder="1" applyAlignment="1">
      <alignment horizontal="center"/>
    </xf>
    <xf numFmtId="1" fontId="18" fillId="0" borderId="10" xfId="0" applyNumberFormat="1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" fontId="19" fillId="0" borderId="5" xfId="0" applyNumberFormat="1" applyFont="1" applyBorder="1" applyAlignment="1">
      <alignment horizontal="center"/>
    </xf>
    <xf numFmtId="1" fontId="19" fillId="0" borderId="7" xfId="0" applyNumberFormat="1" applyFont="1" applyBorder="1" applyAlignment="1">
      <alignment horizontal="center"/>
    </xf>
    <xf numFmtId="1" fontId="19" fillId="0" borderId="9" xfId="0" applyNumberFormat="1" applyFont="1" applyBorder="1" applyAlignment="1">
      <alignment horizontal="center"/>
    </xf>
    <xf numFmtId="1" fontId="19" fillId="0" borderId="10" xfId="0" applyNumberFormat="1" applyFont="1" applyBorder="1"/>
    <xf numFmtId="1" fontId="19" fillId="0" borderId="10" xfId="0" applyNumberFormat="1" applyFont="1" applyBorder="1" applyAlignment="1">
      <alignment horizontal="center"/>
    </xf>
    <xf numFmtId="0" fontId="13" fillId="2" borderId="10" xfId="0" applyFont="1" applyFill="1" applyBorder="1"/>
    <xf numFmtId="0" fontId="16" fillId="2" borderId="10" xfId="0" applyFont="1" applyFill="1" applyBorder="1" applyAlignment="1">
      <alignment horizontal="right" wrapText="1"/>
    </xf>
    <xf numFmtId="3" fontId="13" fillId="0" borderId="10" xfId="0" applyNumberFormat="1" applyFont="1" applyBorder="1" applyAlignment="1">
      <alignment horizontal="center"/>
    </xf>
    <xf numFmtId="3" fontId="5" fillId="5" borderId="6" xfId="1" applyNumberFormat="1" applyFont="1" applyFill="1" applyBorder="1" applyAlignment="1">
      <alignment horizontal="center"/>
    </xf>
    <xf numFmtId="1" fontId="14" fillId="5" borderId="2" xfId="1" applyNumberFormat="1" applyFont="1" applyFill="1" applyBorder="1" applyAlignment="1">
      <alignment horizontal="center"/>
    </xf>
    <xf numFmtId="1" fontId="5" fillId="5" borderId="7" xfId="1" applyNumberFormat="1" applyFont="1" applyFill="1" applyBorder="1" applyAlignment="1">
      <alignment horizontal="center"/>
    </xf>
    <xf numFmtId="0" fontId="21" fillId="4" borderId="5" xfId="0" applyFont="1" applyFill="1" applyBorder="1" applyAlignment="1">
      <alignment horizontal="center" vertical="center"/>
    </xf>
    <xf numFmtId="9" fontId="22" fillId="0" borderId="1" xfId="4" applyFont="1" applyFill="1" applyBorder="1" applyAlignment="1" applyProtection="1">
      <alignment horizontal="center"/>
      <protection locked="0"/>
    </xf>
    <xf numFmtId="9" fontId="22" fillId="0" borderId="2" xfId="4" applyFont="1" applyFill="1" applyBorder="1" applyAlignment="1" applyProtection="1">
      <alignment horizontal="center"/>
      <protection locked="0"/>
    </xf>
    <xf numFmtId="0" fontId="14" fillId="0" borderId="8" xfId="1" applyFont="1" applyBorder="1" applyAlignment="1" applyProtection="1">
      <alignment horizontal="left"/>
      <protection locked="0"/>
    </xf>
    <xf numFmtId="9" fontId="14" fillId="0" borderId="3" xfId="4" applyFont="1" applyFill="1" applyBorder="1" applyAlignment="1" applyProtection="1">
      <alignment horizontal="center"/>
      <protection locked="0"/>
    </xf>
    <xf numFmtId="0" fontId="5" fillId="4" borderId="10" xfId="1" applyFont="1" applyFill="1" applyBorder="1" applyAlignment="1">
      <alignment horizontal="left"/>
    </xf>
    <xf numFmtId="0" fontId="5" fillId="2" borderId="6" xfId="1" applyFont="1" applyFill="1" applyBorder="1" applyAlignment="1">
      <alignment horizontal="left"/>
    </xf>
    <xf numFmtId="0" fontId="14" fillId="0" borderId="10" xfId="0" applyFont="1" applyBorder="1"/>
    <xf numFmtId="0" fontId="23" fillId="0" borderId="10" xfId="0" applyFont="1" applyBorder="1" applyAlignment="1">
      <alignment horizontal="center"/>
    </xf>
    <xf numFmtId="0" fontId="23" fillId="0" borderId="10" xfId="0" applyFont="1" applyBorder="1" applyAlignment="1">
      <alignment horizontal="center" wrapText="1"/>
    </xf>
    <xf numFmtId="9" fontId="23" fillId="0" borderId="10" xfId="4" applyFont="1" applyFill="1" applyBorder="1" applyAlignment="1">
      <alignment horizontal="center"/>
    </xf>
    <xf numFmtId="4" fontId="23" fillId="0" borderId="10" xfId="0" applyNumberFormat="1" applyFont="1" applyBorder="1" applyAlignment="1">
      <alignment horizontal="center"/>
    </xf>
    <xf numFmtId="0" fontId="23" fillId="0" borderId="9" xfId="0" applyFont="1" applyBorder="1"/>
    <xf numFmtId="0" fontId="23" fillId="0" borderId="8" xfId="0" applyFont="1" applyBorder="1" applyAlignment="1">
      <alignment horizontal="center"/>
    </xf>
    <xf numFmtId="165" fontId="23" fillId="0" borderId="8" xfId="4" applyNumberFormat="1" applyFont="1" applyBorder="1" applyAlignment="1">
      <alignment horizontal="center"/>
    </xf>
    <xf numFmtId="165" fontId="23" fillId="0" borderId="15" xfId="4" applyNumberFormat="1" applyFont="1" applyFill="1" applyBorder="1" applyAlignment="1">
      <alignment horizontal="center"/>
    </xf>
    <xf numFmtId="165" fontId="23" fillId="0" borderId="9" xfId="4" applyNumberFormat="1" applyFont="1" applyFill="1" applyBorder="1" applyAlignment="1">
      <alignment horizontal="center"/>
    </xf>
    <xf numFmtId="0" fontId="23" fillId="0" borderId="10" xfId="0" applyFont="1" applyBorder="1"/>
    <xf numFmtId="0" fontId="23" fillId="0" borderId="0" xfId="0" applyFont="1" applyAlignment="1">
      <alignment horizontal="center"/>
    </xf>
    <xf numFmtId="2" fontId="23" fillId="0" borderId="14" xfId="0" applyNumberFormat="1" applyFont="1" applyBorder="1" applyAlignment="1">
      <alignment horizontal="center"/>
    </xf>
    <xf numFmtId="2" fontId="23" fillId="0" borderId="0" xfId="0" applyNumberFormat="1" applyFont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2" fontId="23" fillId="0" borderId="8" xfId="0" applyNumberFormat="1" applyFont="1" applyBorder="1" applyAlignment="1">
      <alignment horizontal="center"/>
    </xf>
    <xf numFmtId="2" fontId="23" fillId="0" borderId="9" xfId="0" applyNumberFormat="1" applyFont="1" applyBorder="1" applyAlignment="1">
      <alignment horizontal="center"/>
    </xf>
    <xf numFmtId="2" fontId="23" fillId="0" borderId="15" xfId="0" applyNumberFormat="1" applyFont="1" applyBorder="1" applyAlignment="1">
      <alignment horizontal="center"/>
    </xf>
    <xf numFmtId="2" fontId="23" fillId="0" borderId="7" xfId="0" applyNumberFormat="1" applyFont="1" applyBorder="1" applyAlignment="1">
      <alignment horizontal="center"/>
    </xf>
    <xf numFmtId="3" fontId="13" fillId="0" borderId="10" xfId="0" quotePrefix="1" applyNumberFormat="1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4" fontId="13" fillId="0" borderId="10" xfId="0" applyNumberFormat="1" applyFont="1" applyBorder="1" applyAlignment="1">
      <alignment horizontal="center" vertical="center"/>
    </xf>
    <xf numFmtId="3" fontId="13" fillId="0" borderId="10" xfId="0" applyNumberFormat="1" applyFont="1" applyBorder="1" applyAlignment="1">
      <alignment horizontal="center" vertical="center"/>
    </xf>
    <xf numFmtId="0" fontId="18" fillId="0" borderId="10" xfId="0" applyFont="1" applyBorder="1"/>
    <xf numFmtId="0" fontId="18" fillId="0" borderId="10" xfId="0" applyFont="1" applyBorder="1" applyAlignment="1">
      <alignment horizontal="center" vertical="center"/>
    </xf>
    <xf numFmtId="2" fontId="18" fillId="0" borderId="10" xfId="0" applyNumberFormat="1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center" vertical="center"/>
    </xf>
    <xf numFmtId="3" fontId="18" fillId="0" borderId="10" xfId="0" applyNumberFormat="1" applyFont="1" applyBorder="1" applyAlignment="1">
      <alignment horizontal="center" vertical="center"/>
    </xf>
    <xf numFmtId="166" fontId="18" fillId="0" borderId="10" xfId="0" applyNumberFormat="1" applyFont="1" applyBorder="1" applyAlignment="1">
      <alignment horizontal="center" vertical="center"/>
    </xf>
    <xf numFmtId="3" fontId="18" fillId="0" borderId="10" xfId="0" quotePrefix="1" applyNumberFormat="1" applyFont="1" applyBorder="1" applyAlignment="1">
      <alignment horizontal="center" vertical="center"/>
    </xf>
    <xf numFmtId="2" fontId="18" fillId="0" borderId="10" xfId="0" applyNumberFormat="1" applyFont="1" applyBorder="1" applyAlignment="1">
      <alignment horizontal="center"/>
    </xf>
    <xf numFmtId="166" fontId="18" fillId="0" borderId="10" xfId="0" applyNumberFormat="1" applyFont="1" applyBorder="1" applyAlignment="1">
      <alignment horizontal="center"/>
    </xf>
    <xf numFmtId="166" fontId="13" fillId="0" borderId="10" xfId="0" applyNumberFormat="1" applyFont="1" applyBorder="1" applyAlignment="1">
      <alignment horizontal="center" vertical="center"/>
    </xf>
    <xf numFmtId="3" fontId="13" fillId="0" borderId="10" xfId="0" quotePrefix="1" applyNumberFormat="1" applyFont="1" applyBorder="1" applyAlignment="1">
      <alignment horizontal="center" vertical="center"/>
    </xf>
    <xf numFmtId="3" fontId="18" fillId="0" borderId="10" xfId="0" applyNumberFormat="1" applyFont="1" applyBorder="1" applyAlignment="1">
      <alignment horizontal="center"/>
    </xf>
    <xf numFmtId="44" fontId="18" fillId="0" borderId="10" xfId="0" applyNumberFormat="1" applyFont="1" applyBorder="1"/>
    <xf numFmtId="0" fontId="13" fillId="2" borderId="10" xfId="0" applyFont="1" applyFill="1" applyBorder="1" applyAlignment="1">
      <alignment vertical="center"/>
    </xf>
    <xf numFmtId="0" fontId="18" fillId="2" borderId="10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 wrapText="1"/>
    </xf>
    <xf numFmtId="0" fontId="8" fillId="2" borderId="10" xfId="0" applyFont="1" applyFill="1" applyBorder="1" applyAlignment="1">
      <alignment horizontal="right" vertical="center"/>
    </xf>
    <xf numFmtId="0" fontId="18" fillId="2" borderId="10" xfId="0" applyFont="1" applyFill="1" applyBorder="1"/>
    <xf numFmtId="1" fontId="5" fillId="5" borderId="10" xfId="1" applyNumberFormat="1" applyFont="1" applyFill="1" applyBorder="1" applyAlignment="1">
      <alignment horizontal="center"/>
    </xf>
    <xf numFmtId="1" fontId="23" fillId="2" borderId="14" xfId="0" applyNumberFormat="1" applyFont="1" applyFill="1" applyBorder="1" applyAlignment="1">
      <alignment horizontal="center"/>
    </xf>
    <xf numFmtId="1" fontId="23" fillId="2" borderId="10" xfId="0" applyNumberFormat="1" applyFont="1" applyFill="1" applyBorder="1" applyAlignment="1">
      <alignment horizontal="center"/>
    </xf>
    <xf numFmtId="0" fontId="23" fillId="2" borderId="10" xfId="0" applyFont="1" applyFill="1" applyBorder="1"/>
    <xf numFmtId="1" fontId="23" fillId="2" borderId="0" xfId="0" applyNumberFormat="1" applyFont="1" applyFill="1" applyAlignment="1">
      <alignment horizontal="center"/>
    </xf>
    <xf numFmtId="1" fontId="23" fillId="2" borderId="7" xfId="0" applyNumberFormat="1" applyFont="1" applyFill="1" applyBorder="1" applyAlignment="1">
      <alignment horizontal="center"/>
    </xf>
    <xf numFmtId="1" fontId="23" fillId="2" borderId="13" xfId="0" applyNumberFormat="1" applyFont="1" applyFill="1" applyBorder="1" applyAlignment="1">
      <alignment horizontal="center"/>
    </xf>
    <xf numFmtId="1" fontId="23" fillId="2" borderId="9" xfId="0" applyNumberFormat="1" applyFont="1" applyFill="1" applyBorder="1" applyAlignment="1">
      <alignment horizontal="center"/>
    </xf>
    <xf numFmtId="2" fontId="23" fillId="2" borderId="10" xfId="0" applyNumberFormat="1" applyFont="1" applyFill="1" applyBorder="1" applyAlignment="1">
      <alignment horizontal="center"/>
    </xf>
    <xf numFmtId="0" fontId="14" fillId="4" borderId="10" xfId="1" applyFont="1" applyFill="1" applyBorder="1" applyAlignment="1">
      <alignment horizontal="left"/>
    </xf>
    <xf numFmtId="2" fontId="13" fillId="7" borderId="4" xfId="0" applyNumberFormat="1" applyFont="1" applyFill="1" applyBorder="1" applyAlignment="1">
      <alignment horizontal="center"/>
    </xf>
    <xf numFmtId="2" fontId="13" fillId="7" borderId="14" xfId="0" applyNumberFormat="1" applyFont="1" applyFill="1" applyBorder="1" applyAlignment="1">
      <alignment horizontal="center"/>
    </xf>
    <xf numFmtId="2" fontId="23" fillId="7" borderId="5" xfId="0" applyNumberFormat="1" applyFont="1" applyFill="1" applyBorder="1" applyAlignment="1">
      <alignment horizontal="center"/>
    </xf>
    <xf numFmtId="2" fontId="13" fillId="7" borderId="6" xfId="0" applyNumberFormat="1" applyFont="1" applyFill="1" applyBorder="1" applyAlignment="1">
      <alignment horizontal="center"/>
    </xf>
    <xf numFmtId="2" fontId="13" fillId="7" borderId="0" xfId="0" applyNumberFormat="1" applyFont="1" applyFill="1" applyAlignment="1">
      <alignment horizontal="center"/>
    </xf>
    <xf numFmtId="2" fontId="23" fillId="7" borderId="7" xfId="0" applyNumberFormat="1" applyFont="1" applyFill="1" applyBorder="1" applyAlignment="1">
      <alignment horizontal="center"/>
    </xf>
    <xf numFmtId="2" fontId="23" fillId="7" borderId="15" xfId="0" applyNumberFormat="1" applyFont="1" applyFill="1" applyBorder="1" applyAlignment="1">
      <alignment horizontal="center"/>
    </xf>
    <xf numFmtId="2" fontId="23" fillId="7" borderId="9" xfId="0" applyNumberFormat="1" applyFont="1" applyFill="1" applyBorder="1" applyAlignment="1">
      <alignment horizontal="center"/>
    </xf>
    <xf numFmtId="3" fontId="5" fillId="0" borderId="10" xfId="1" applyNumberFormat="1" applyFont="1" applyBorder="1" applyAlignment="1" applyProtection="1">
      <alignment horizontal="center"/>
      <protection locked="0"/>
    </xf>
    <xf numFmtId="3" fontId="14" fillId="0" borderId="10" xfId="1" applyNumberFormat="1" applyFont="1" applyBorder="1" applyAlignment="1" applyProtection="1">
      <alignment horizontal="center"/>
      <protection locked="0"/>
    </xf>
    <xf numFmtId="0" fontId="24" fillId="2" borderId="0" xfId="0" applyFont="1" applyFill="1"/>
    <xf numFmtId="0" fontId="13" fillId="2" borderId="0" xfId="0" applyFont="1" applyFill="1"/>
    <xf numFmtId="0" fontId="2" fillId="0" borderId="1" xfId="1" applyBorder="1"/>
    <xf numFmtId="0" fontId="2" fillId="0" borderId="10" xfId="1" applyBorder="1"/>
    <xf numFmtId="0" fontId="2" fillId="0" borderId="0" xfId="0" applyFont="1"/>
    <xf numFmtId="0" fontId="16" fillId="2" borderId="13" xfId="0" applyFont="1" applyFill="1" applyBorder="1" applyAlignment="1">
      <alignment horizontal="right" wrapText="1"/>
    </xf>
    <xf numFmtId="0" fontId="2" fillId="2" borderId="13" xfId="0" applyFont="1" applyFill="1" applyBorder="1" applyAlignment="1">
      <alignment horizontal="center" wrapText="1"/>
    </xf>
    <xf numFmtId="0" fontId="8" fillId="2" borderId="13" xfId="0" applyFont="1" applyFill="1" applyBorder="1" applyAlignment="1">
      <alignment horizontal="right" vertical="center"/>
    </xf>
    <xf numFmtId="0" fontId="13" fillId="2" borderId="13" xfId="0" applyFont="1" applyFill="1" applyBorder="1"/>
    <xf numFmtId="0" fontId="13" fillId="0" borderId="13" xfId="0" applyFont="1" applyBorder="1"/>
    <xf numFmtId="0" fontId="13" fillId="0" borderId="10" xfId="0" applyFont="1" applyBorder="1" applyAlignment="1">
      <alignment horizontal="left" vertical="center"/>
    </xf>
    <xf numFmtId="0" fontId="14" fillId="0" borderId="10" xfId="0" applyFont="1" applyBorder="1" applyAlignment="1" applyProtection="1">
      <alignment horizontal="center"/>
      <protection locked="0"/>
    </xf>
    <xf numFmtId="167" fontId="9" fillId="6" borderId="10" xfId="0" applyNumberFormat="1" applyFont="1" applyFill="1" applyBorder="1" applyAlignment="1">
      <alignment horizontal="center"/>
    </xf>
    <xf numFmtId="0" fontId="4" fillId="2" borderId="11" xfId="1" applyFont="1" applyFill="1" applyBorder="1" applyAlignment="1">
      <alignment horizontal="center"/>
    </xf>
    <xf numFmtId="0" fontId="4" fillId="2" borderId="12" xfId="1" applyFont="1" applyFill="1" applyBorder="1" applyAlignment="1">
      <alignment horizontal="center"/>
    </xf>
    <xf numFmtId="0" fontId="4" fillId="2" borderId="13" xfId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4" fillId="2" borderId="4" xfId="1" applyFont="1" applyFill="1" applyBorder="1" applyAlignment="1">
      <alignment horizontal="center"/>
    </xf>
    <xf numFmtId="0" fontId="4" fillId="2" borderId="14" xfId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/>
    </xf>
    <xf numFmtId="0" fontId="5" fillId="6" borderId="0" xfId="1" applyFont="1" applyFill="1" applyAlignment="1">
      <alignment horizontal="left" vertical="top" wrapText="1"/>
    </xf>
    <xf numFmtId="0" fontId="7" fillId="3" borderId="11" xfId="1" applyFont="1" applyFill="1" applyBorder="1" applyAlignment="1">
      <alignment horizontal="center"/>
    </xf>
    <xf numFmtId="0" fontId="7" fillId="3" borderId="12" xfId="1" applyFont="1" applyFill="1" applyBorder="1" applyAlignment="1">
      <alignment horizontal="center"/>
    </xf>
    <xf numFmtId="3" fontId="13" fillId="0" borderId="1" xfId="0" applyNumberFormat="1" applyFont="1" applyBorder="1" applyAlignment="1">
      <alignment horizontal="center"/>
    </xf>
    <xf numFmtId="3" fontId="13" fillId="0" borderId="2" xfId="0" applyNumberFormat="1" applyFont="1" applyBorder="1" applyAlignment="1">
      <alignment horizontal="center"/>
    </xf>
    <xf numFmtId="3" fontId="13" fillId="0" borderId="3" xfId="0" applyNumberFormat="1" applyFont="1" applyBorder="1" applyAlignment="1">
      <alignment horizontal="center"/>
    </xf>
    <xf numFmtId="0" fontId="4" fillId="3" borderId="15" xfId="1" applyFont="1" applyFill="1" applyBorder="1" applyAlignment="1">
      <alignment horizontal="center"/>
    </xf>
    <xf numFmtId="0" fontId="4" fillId="3" borderId="9" xfId="1" applyFont="1" applyFill="1" applyBorder="1" applyAlignment="1">
      <alignment horizontal="center"/>
    </xf>
    <xf numFmtId="0" fontId="4" fillId="5" borderId="11" xfId="1" applyFont="1" applyFill="1" applyBorder="1" applyAlignment="1">
      <alignment horizontal="center"/>
    </xf>
    <xf numFmtId="0" fontId="4" fillId="5" borderId="12" xfId="1" applyFont="1" applyFill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8" fillId="6" borderId="0" xfId="1" applyFont="1" applyFill="1" applyAlignment="1">
      <alignment horizontal="left" vertical="top" wrapText="1"/>
    </xf>
    <xf numFmtId="0" fontId="7" fillId="3" borderId="15" xfId="1" applyFont="1" applyFill="1" applyBorder="1" applyAlignment="1">
      <alignment horizontal="center"/>
    </xf>
    <xf numFmtId="0" fontId="7" fillId="3" borderId="9" xfId="1" applyFont="1" applyFill="1" applyBorder="1" applyAlignment="1">
      <alignment horizontal="center"/>
    </xf>
    <xf numFmtId="3" fontId="5" fillId="5" borderId="11" xfId="1" applyNumberFormat="1" applyFont="1" applyFill="1" applyBorder="1" applyAlignment="1">
      <alignment horizontal="center"/>
    </xf>
    <xf numFmtId="3" fontId="5" fillId="5" borderId="13" xfId="1" applyNumberFormat="1" applyFont="1" applyFill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4" xfId="0" applyFont="1" applyBorder="1" applyAlignment="1">
      <alignment horizontal="center"/>
    </xf>
  </cellXfs>
  <cellStyles count="5">
    <cellStyle name="Currency 2" xfId="2" xr:uid="{00000000-0005-0000-0000-000000000000}"/>
    <cellStyle name="Normal" xfId="0" builtinId="0"/>
    <cellStyle name="Normal 2" xfId="3" xr:uid="{00000000-0005-0000-0000-000002000000}"/>
    <cellStyle name="Normal 3" xfId="1" xr:uid="{00000000-0005-0000-0000-000003000000}"/>
    <cellStyle name="Percent" xfId="4" builtinId="5"/>
  </cellStyles>
  <dxfs count="0"/>
  <tableStyles count="0" defaultTableStyle="TableStyleMedium2" defaultPivotStyle="PivotStyleLight16"/>
  <colors>
    <mruColors>
      <color rgb="FFFF0000"/>
      <color rgb="FFF00000"/>
      <color rgb="FFDDF456"/>
      <color rgb="FFAAD39F"/>
      <color rgb="FFDCF456"/>
      <color rgb="FFCC00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31750</xdr:colOff>
      <xdr:row>4</xdr:row>
      <xdr:rowOff>68501</xdr:rowOff>
    </xdr:from>
    <xdr:to>
      <xdr:col>10</xdr:col>
      <xdr:colOff>432409</xdr:colOff>
      <xdr:row>8</xdr:row>
      <xdr:rowOff>112212</xdr:rowOff>
    </xdr:to>
    <xdr:pic>
      <xdr:nvPicPr>
        <xdr:cNvPr id="11" name="Picture 2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3917" y="1105668"/>
          <a:ext cx="2210409" cy="11549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76200</xdr:colOff>
          <xdr:row>36</xdr:row>
          <xdr:rowOff>88900</xdr:rowOff>
        </xdr:from>
        <xdr:to>
          <xdr:col>1</xdr:col>
          <xdr:colOff>1657350</xdr:colOff>
          <xdr:row>38</xdr:row>
          <xdr:rowOff>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400" b="1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Optimize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431800</xdr:colOff>
          <xdr:row>36</xdr:row>
          <xdr:rowOff>76200</xdr:rowOff>
        </xdr:from>
        <xdr:to>
          <xdr:col>3</xdr:col>
          <xdr:colOff>755650</xdr:colOff>
          <xdr:row>38</xdr:row>
          <xdr:rowOff>0</xdr:rowOff>
        </xdr:to>
        <xdr:sp macro="" textlink="">
          <xdr:nvSpPr>
            <xdr:cNvPr id="1032" name="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400" b="1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Reset Form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266700</xdr:colOff>
          <xdr:row>4</xdr:row>
          <xdr:rowOff>0</xdr:rowOff>
        </xdr:from>
        <xdr:to>
          <xdr:col>1</xdr:col>
          <xdr:colOff>1765300</xdr:colOff>
          <xdr:row>5</xdr:row>
          <xdr:rowOff>152400</xdr:rowOff>
        </xdr:to>
        <xdr:sp macro="" textlink="">
          <xdr:nvSpPr>
            <xdr:cNvPr id="1034" name="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1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400" b="1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Help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76200</xdr:colOff>
          <xdr:row>64</xdr:row>
          <xdr:rowOff>95250</xdr:rowOff>
        </xdr:from>
        <xdr:to>
          <xdr:col>1</xdr:col>
          <xdr:colOff>1657350</xdr:colOff>
          <xdr:row>66</xdr:row>
          <xdr:rowOff>0</xdr:rowOff>
        </xdr:to>
        <xdr:sp macro="" textlink="">
          <xdr:nvSpPr>
            <xdr:cNvPr id="1039" name="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400" b="1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Print Output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76200</xdr:colOff>
          <xdr:row>2</xdr:row>
          <xdr:rowOff>95250</xdr:rowOff>
        </xdr:from>
        <xdr:to>
          <xdr:col>11</xdr:col>
          <xdr:colOff>1657350</xdr:colOff>
          <xdr:row>4</xdr:row>
          <xdr:rowOff>0</xdr:rowOff>
        </xdr:to>
        <xdr:sp macro="" textlink="">
          <xdr:nvSpPr>
            <xdr:cNvPr id="1040" name="Butto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1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400" b="1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Hide &amp; Protect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1492250</xdr:colOff>
      <xdr:row>0</xdr:row>
      <xdr:rowOff>1</xdr:rowOff>
    </xdr:from>
    <xdr:to>
      <xdr:col>2</xdr:col>
      <xdr:colOff>74085</xdr:colOff>
      <xdr:row>7</xdr:row>
      <xdr:rowOff>16141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5250" y="1"/>
          <a:ext cx="1100668" cy="17518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105833</xdr:colOff>
      <xdr:row>1</xdr:row>
      <xdr:rowOff>63500</xdr:rowOff>
    </xdr:from>
    <xdr:to>
      <xdr:col>10</xdr:col>
      <xdr:colOff>96308</xdr:colOff>
      <xdr:row>3</xdr:row>
      <xdr:rowOff>240242</xdr:rowOff>
    </xdr:to>
    <xdr:pic>
      <xdr:nvPicPr>
        <xdr:cNvPr id="13" name="Picture 12" descr="C:\Documents and Settings\DShivere\Local Settings\Temporary Internet Files\Content.Word\AGRA LOGO 2010 small.jpg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8000" y="243417"/>
          <a:ext cx="1800225" cy="6953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41"/>
  <sheetViews>
    <sheetView showGridLines="0" workbookViewId="0"/>
  </sheetViews>
  <sheetFormatPr defaultRowHeight="14.5" x14ac:dyDescent="0.35"/>
  <cols>
    <col min="1" max="1" width="9.1796875"/>
  </cols>
  <sheetData>
    <row r="1" spans="1:21" ht="18.5" x14ac:dyDescent="0.4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1:21" ht="18.5" x14ac:dyDescent="0.45">
      <c r="A2" s="11"/>
      <c r="B2" s="25" t="s">
        <v>87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pans="1:21" ht="18.5" x14ac:dyDescent="0.4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</row>
    <row r="4" spans="1:21" ht="18.5" x14ac:dyDescent="0.45">
      <c r="A4" s="11"/>
      <c r="B4" s="11" t="s">
        <v>84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1:21" ht="18.5" x14ac:dyDescent="0.45">
      <c r="A5" s="11"/>
      <c r="B5" s="11" t="s">
        <v>64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1:21" ht="18.5" x14ac:dyDescent="0.45">
      <c r="A6" s="11"/>
      <c r="B6" s="11" t="s">
        <v>65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18.5" x14ac:dyDescent="0.45">
      <c r="A7" s="11"/>
      <c r="B7" s="11" t="s">
        <v>66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1:21" ht="18.5" x14ac:dyDescent="0.4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ht="18.5" x14ac:dyDescent="0.45">
      <c r="A9" s="11"/>
      <c r="B9" s="11" t="s">
        <v>88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1:21" ht="18.5" x14ac:dyDescent="0.45">
      <c r="A10" s="11"/>
      <c r="B10" s="11" t="s">
        <v>77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1:21" ht="18.5" x14ac:dyDescent="0.45">
      <c r="A11" s="11"/>
      <c r="B11" s="11" t="s">
        <v>78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1:21" ht="18.5" x14ac:dyDescent="0.45">
      <c r="A12" s="11"/>
      <c r="B12" s="11" t="s">
        <v>86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1:21" ht="18.5" x14ac:dyDescent="0.4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1:21" ht="18.5" x14ac:dyDescent="0.4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1:21" ht="18.5" x14ac:dyDescent="0.4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1:21" ht="18.5" x14ac:dyDescent="0.4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1:21" ht="15" customHeight="1" x14ac:dyDescent="0.4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1:21" ht="18.5" x14ac:dyDescent="0.4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1:21" ht="18.5" x14ac:dyDescent="0.4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1:21" ht="18.5" x14ac:dyDescent="0.4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1" ht="18.5" x14ac:dyDescent="0.4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1:21" ht="18.5" x14ac:dyDescent="0.4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1:21" ht="18.5" x14ac:dyDescent="0.4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1:21" ht="18.5" x14ac:dyDescent="0.4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1:21" ht="18.5" x14ac:dyDescent="0.4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1:21" ht="18.5" x14ac:dyDescent="0.4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1:21" ht="18.5" x14ac:dyDescent="0.4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1:21" ht="18.5" x14ac:dyDescent="0.4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1:21" ht="18.5" x14ac:dyDescent="0.4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1" ht="18.5" x14ac:dyDescent="0.4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1" ht="18.5" x14ac:dyDescent="0.4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1" ht="18.5" x14ac:dyDescent="0.4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 ht="18.5" x14ac:dyDescent="0.4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1:21" ht="18.5" x14ac:dyDescent="0.4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1:21" ht="18.5" x14ac:dyDescent="0.4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1:21" ht="18.5" x14ac:dyDescent="0.4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1:21" ht="18.5" x14ac:dyDescent="0.4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1:21" ht="18.5" x14ac:dyDescent="0.4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1:21" ht="18.5" x14ac:dyDescent="0.4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1" ht="18.5" x14ac:dyDescent="0.4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1" ht="18.5" x14ac:dyDescent="0.4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</sheetData>
  <sheetProtection password="C75C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K98"/>
  <sheetViews>
    <sheetView showGridLines="0" tabSelected="1" topLeftCell="A11" zoomScale="90" zoomScaleNormal="90" workbookViewId="0">
      <selection activeCell="F20" sqref="F20"/>
    </sheetView>
  </sheetViews>
  <sheetFormatPr defaultColWidth="9.1796875" defaultRowHeight="14" x14ac:dyDescent="0.3"/>
  <cols>
    <col min="1" max="1" width="17.1796875" style="39" customWidth="1"/>
    <col min="2" max="2" width="37.7265625" style="39" customWidth="1"/>
    <col min="3" max="3" width="14.7265625" style="39" customWidth="1"/>
    <col min="4" max="4" width="16" style="39" customWidth="1"/>
    <col min="5" max="7" width="13.453125" style="39" customWidth="1"/>
    <col min="8" max="8" width="13.1796875" style="39" customWidth="1"/>
    <col min="9" max="9" width="9.1796875" style="39" customWidth="1"/>
    <col min="10" max="10" width="17.81640625" style="39" customWidth="1"/>
    <col min="11" max="11" width="9.1796875" style="39" customWidth="1"/>
    <col min="12" max="12" width="32.81640625" style="39" hidden="1" customWidth="1"/>
    <col min="13" max="13" width="12" style="39" hidden="1" customWidth="1"/>
    <col min="14" max="14" width="23" style="39" hidden="1" customWidth="1"/>
    <col min="15" max="16" width="18.81640625" style="39" hidden="1" customWidth="1"/>
    <col min="17" max="17" width="20.1796875" style="39" hidden="1" customWidth="1"/>
    <col min="18" max="18" width="18.1796875" style="39" hidden="1" customWidth="1"/>
    <col min="19" max="19" width="21.7265625" style="39" hidden="1" customWidth="1"/>
    <col min="20" max="20" width="24.453125" style="39" hidden="1" customWidth="1"/>
    <col min="21" max="21" width="19.54296875" style="39" hidden="1" customWidth="1"/>
    <col min="22" max="22" width="17.453125" style="39" hidden="1" customWidth="1"/>
    <col min="23" max="23" width="13.1796875" style="39" hidden="1" customWidth="1"/>
    <col min="24" max="24" width="12.81640625" style="39" hidden="1" customWidth="1"/>
    <col min="25" max="25" width="14.81640625" style="39" hidden="1" customWidth="1"/>
    <col min="26" max="26" width="14.7265625" style="39" hidden="1" customWidth="1"/>
    <col min="27" max="27" width="14.453125" style="39" hidden="1" customWidth="1"/>
    <col min="28" max="29" width="12.26953125" style="39" hidden="1" customWidth="1"/>
    <col min="30" max="30" width="11.81640625" style="39" hidden="1" customWidth="1"/>
    <col min="31" max="31" width="11.54296875" style="105" hidden="1" customWidth="1"/>
    <col min="32" max="32" width="11.54296875" style="39" hidden="1" customWidth="1"/>
    <col min="33" max="33" width="11.81640625" style="39" hidden="1" customWidth="1"/>
    <col min="34" max="35" width="11.54296875" style="39" hidden="1" customWidth="1"/>
    <col min="36" max="16384" width="9.1796875" style="39"/>
  </cols>
  <sheetData>
    <row r="1" spans="1:37" x14ac:dyDescent="0.3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AJ1" s="38"/>
      <c r="AK1" s="38"/>
    </row>
    <row r="2" spans="1:37" x14ac:dyDescent="0.3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AJ2" s="38"/>
      <c r="AK2" s="38"/>
    </row>
    <row r="3" spans="1:37" ht="25.5" x14ac:dyDescent="0.55000000000000004">
      <c r="A3" s="38"/>
      <c r="B3" s="38"/>
      <c r="C3" s="38"/>
      <c r="D3" s="190" t="s">
        <v>147</v>
      </c>
      <c r="E3" s="190"/>
      <c r="F3" s="191"/>
      <c r="G3" s="191"/>
      <c r="H3" s="191"/>
      <c r="I3" s="38"/>
      <c r="J3" s="38"/>
      <c r="K3" s="38"/>
      <c r="AJ3" s="38"/>
      <c r="AK3" s="38"/>
    </row>
    <row r="4" spans="1:37" ht="25.5" x14ac:dyDescent="0.55000000000000004">
      <c r="A4" s="38"/>
      <c r="B4" s="38"/>
      <c r="C4" s="38"/>
      <c r="D4" s="190" t="s">
        <v>148</v>
      </c>
      <c r="E4" s="190"/>
      <c r="F4" s="191"/>
      <c r="G4" s="191"/>
      <c r="H4" s="38"/>
      <c r="I4" s="38"/>
      <c r="J4" s="38"/>
      <c r="K4" s="38"/>
      <c r="P4" s="91"/>
      <c r="AJ4" s="38"/>
      <c r="AK4" s="38"/>
    </row>
    <row r="5" spans="1:37" ht="25.5" x14ac:dyDescent="0.55000000000000004">
      <c r="A5" s="38"/>
      <c r="B5" s="38"/>
      <c r="C5" s="38"/>
      <c r="D5" s="190" t="s">
        <v>149</v>
      </c>
      <c r="E5" s="191"/>
      <c r="F5" s="191"/>
      <c r="G5" s="191"/>
      <c r="H5" s="38"/>
      <c r="I5" s="38"/>
      <c r="J5" s="38"/>
      <c r="K5" s="38"/>
      <c r="AJ5" s="38"/>
      <c r="AK5" s="38"/>
    </row>
    <row r="6" spans="1:37" x14ac:dyDescent="0.3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AJ6" s="38"/>
      <c r="AK6" s="38"/>
    </row>
    <row r="7" spans="1:37" x14ac:dyDescent="0.3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AJ7" s="38"/>
      <c r="AK7" s="38"/>
    </row>
    <row r="8" spans="1:37" ht="32.5" customHeight="1" x14ac:dyDescent="0.4">
      <c r="A8" s="38"/>
      <c r="B8" s="38"/>
      <c r="C8" s="38"/>
      <c r="E8" s="95"/>
      <c r="F8" s="95"/>
      <c r="G8" s="95"/>
      <c r="H8" s="38"/>
      <c r="I8" s="38"/>
      <c r="J8" s="38"/>
      <c r="K8" s="38"/>
      <c r="N8" s="40" t="s">
        <v>15</v>
      </c>
      <c r="O8" s="41"/>
      <c r="P8" s="42" t="s">
        <v>58</v>
      </c>
      <c r="Q8" s="43" t="s">
        <v>16</v>
      </c>
      <c r="R8" s="43" t="s">
        <v>18</v>
      </c>
      <c r="S8" s="44" t="s">
        <v>17</v>
      </c>
      <c r="T8" s="128" t="s">
        <v>102</v>
      </c>
      <c r="U8" s="129" t="s">
        <v>33</v>
      </c>
      <c r="AJ8" s="38"/>
      <c r="AK8" s="38"/>
    </row>
    <row r="9" spans="1:37" ht="20" x14ac:dyDescent="0.4">
      <c r="A9" s="38"/>
      <c r="B9" s="38"/>
      <c r="C9" s="38"/>
      <c r="D9" s="95"/>
      <c r="E9" s="95"/>
      <c r="F9" s="95"/>
      <c r="G9" s="95"/>
      <c r="H9" s="38"/>
      <c r="I9" s="38"/>
      <c r="J9" s="38"/>
      <c r="K9" s="38"/>
      <c r="N9" s="192" t="str">
        <f>B26</f>
        <v>Urea</v>
      </c>
      <c r="O9" s="21"/>
      <c r="P9" s="45" t="s">
        <v>9</v>
      </c>
      <c r="Q9" s="46">
        <f>IF(OR(C26=0,C26="%"),0,C26)</f>
        <v>0.46</v>
      </c>
      <c r="R9" s="81">
        <f>IF(OR(D26=0,D26="%"),0,D26*0.437)</f>
        <v>0</v>
      </c>
      <c r="S9" s="82">
        <f>IF(OR(E26=0,E26="%"),0,E26*0.83)</f>
        <v>0</v>
      </c>
      <c r="T9" s="130">
        <f>IF(OR(F26=0,F26="%"),0,F26)</f>
        <v>0</v>
      </c>
      <c r="U9" s="131">
        <f>IF(G26&lt;=0,0,(G26/50))</f>
        <v>2400</v>
      </c>
      <c r="AJ9" s="38"/>
      <c r="AK9" s="38"/>
    </row>
    <row r="10" spans="1:37" ht="18" x14ac:dyDescent="0.4">
      <c r="A10" s="38"/>
      <c r="B10" s="47" t="s">
        <v>74</v>
      </c>
      <c r="C10" s="201" t="s">
        <v>83</v>
      </c>
      <c r="D10" s="201"/>
      <c r="E10" s="10"/>
      <c r="F10" s="10"/>
      <c r="G10" s="38"/>
      <c r="H10" s="38"/>
      <c r="I10" s="38"/>
      <c r="J10" s="38"/>
      <c r="K10" s="38"/>
      <c r="N10" s="192" t="str">
        <f t="shared" ref="N10:N13" si="0">B27</f>
        <v>Triple super phosphate, TSP</v>
      </c>
      <c r="O10" s="1"/>
      <c r="P10" s="48" t="s">
        <v>12</v>
      </c>
      <c r="Q10" s="49">
        <f>IF(OR(C27=0,C27="%"),0,C27)</f>
        <v>0</v>
      </c>
      <c r="R10" s="83">
        <f>IF(OR(D27=0,D27="%"),0,D27*0.437)</f>
        <v>0.20102</v>
      </c>
      <c r="S10" s="84">
        <f>IF(OR(E27=0,E27="%"),0,E27*0.83)</f>
        <v>0</v>
      </c>
      <c r="T10" s="130">
        <f>IF(OR(F27=0,F27="%"),0,F27)</f>
        <v>0</v>
      </c>
      <c r="U10" s="131">
        <f>IF(G27&lt;=0,0,(G27/50))</f>
        <v>2400</v>
      </c>
      <c r="AJ10" s="38"/>
      <c r="AK10" s="38"/>
    </row>
    <row r="11" spans="1:37" ht="18" x14ac:dyDescent="0.4">
      <c r="A11" s="38"/>
      <c r="B11" s="47" t="s">
        <v>75</v>
      </c>
      <c r="C11" s="201" t="s">
        <v>83</v>
      </c>
      <c r="D11" s="201"/>
      <c r="E11" s="15"/>
      <c r="F11" s="15"/>
      <c r="G11" s="38"/>
      <c r="H11" s="38"/>
      <c r="I11" s="38"/>
      <c r="J11" s="38"/>
      <c r="K11" s="38"/>
      <c r="N11" s="192" t="str">
        <f t="shared" si="0"/>
        <v>Diammonium phosphate, DAP</v>
      </c>
      <c r="O11" s="1"/>
      <c r="P11" s="48" t="s">
        <v>13</v>
      </c>
      <c r="Q11" s="92">
        <f>IF(OR(C28=0,C28="%"),0,C28)</f>
        <v>0.18</v>
      </c>
      <c r="R11" s="83">
        <f>IF(OR(D28=0,D28="%"),0,D28*0.437)</f>
        <v>0.20102</v>
      </c>
      <c r="S11" s="84">
        <f>IF(OR(E28=0,E28="%"),0,E28*0.83)</f>
        <v>0</v>
      </c>
      <c r="T11" s="130">
        <f>IF(OR(F28=0,F28="%"),0,F28)</f>
        <v>0</v>
      </c>
      <c r="U11" s="131">
        <f>IF(G28&lt;=0,0,(G28/50))</f>
        <v>2800</v>
      </c>
      <c r="AJ11" s="38"/>
      <c r="AK11" s="38"/>
    </row>
    <row r="12" spans="1:37" ht="18" x14ac:dyDescent="0.4">
      <c r="A12" s="38"/>
      <c r="B12" s="47" t="s">
        <v>76</v>
      </c>
      <c r="C12" s="202">
        <f ca="1">TODAY()</f>
        <v>46028</v>
      </c>
      <c r="D12" s="202"/>
      <c r="E12" s="16"/>
      <c r="F12" s="16"/>
      <c r="G12" s="38"/>
      <c r="H12" s="38"/>
      <c r="I12" s="38"/>
      <c r="J12" s="38"/>
      <c r="K12" s="38"/>
      <c r="N12" s="192" t="str">
        <f t="shared" si="0"/>
        <v>Murate of potash, KCL</v>
      </c>
      <c r="O12" s="22"/>
      <c r="P12" s="51" t="s">
        <v>19</v>
      </c>
      <c r="Q12" s="49">
        <f>IF(OR(C29=0,C29="%"),0,C29)</f>
        <v>0</v>
      </c>
      <c r="R12" s="83">
        <f>IF(OR(D29=0,D29="%"),0,D29*0.437)</f>
        <v>0</v>
      </c>
      <c r="S12" s="84">
        <f>IF(OR(E29=0,E29="%"),0,E29*0.83)</f>
        <v>0.49799999999999994</v>
      </c>
      <c r="T12" s="130">
        <f>IF(OR(F29=0,F29="%"),0,F29)</f>
        <v>0</v>
      </c>
      <c r="U12" s="131">
        <f>IF(G29&lt;=0,0,(G29/50))</f>
        <v>2000</v>
      </c>
      <c r="AJ12" s="38"/>
      <c r="AK12" s="38"/>
    </row>
    <row r="13" spans="1:37" x14ac:dyDescent="0.3">
      <c r="A13" s="38"/>
      <c r="B13" s="38"/>
      <c r="C13" s="38"/>
      <c r="D13" s="38"/>
      <c r="E13" s="16"/>
      <c r="F13" s="16"/>
      <c r="G13" s="38"/>
      <c r="H13" s="38"/>
      <c r="I13" s="38"/>
      <c r="J13" s="38"/>
      <c r="K13" s="38"/>
      <c r="N13" s="193" t="str">
        <f t="shared" si="0"/>
        <v>NPK</v>
      </c>
      <c r="O13" s="132"/>
      <c r="P13" s="133" t="str">
        <f>LEFT(N13,4)</f>
        <v>NPK</v>
      </c>
      <c r="Q13" s="134">
        <f>IF(OR(C30=0,C30="%"),0,C30)</f>
        <v>0.17</v>
      </c>
      <c r="R13" s="135">
        <f>IF(OR(D30=0,D30="%"),0,D30*0.437)</f>
        <v>7.4290000000000009E-2</v>
      </c>
      <c r="S13" s="136">
        <f>IF(OR(E30=0,E30="%"),0,E30*0.83)</f>
        <v>0.1411</v>
      </c>
      <c r="T13" s="130">
        <f>IF(OR(F30=0,F30="%"),0,F30)</f>
        <v>0</v>
      </c>
      <c r="U13" s="131">
        <f>IF(G30&lt;=0,0,(G30/50))</f>
        <v>2800</v>
      </c>
      <c r="AJ13" s="38"/>
      <c r="AK13" s="38"/>
    </row>
    <row r="14" spans="1:37" ht="18" x14ac:dyDescent="0.4">
      <c r="A14" s="38"/>
      <c r="B14" s="210" t="s">
        <v>4</v>
      </c>
      <c r="C14" s="211"/>
      <c r="D14" s="212"/>
      <c r="E14" s="16"/>
      <c r="F14" s="16"/>
      <c r="G14" s="38"/>
      <c r="H14" s="38"/>
      <c r="I14" s="38"/>
      <c r="J14" s="38"/>
      <c r="K14" s="38"/>
      <c r="P14" s="54"/>
      <c r="Q14" s="50"/>
      <c r="R14" s="50"/>
      <c r="S14" s="50"/>
      <c r="T14" s="55"/>
      <c r="AJ14" s="38"/>
      <c r="AK14" s="38"/>
    </row>
    <row r="15" spans="1:37" ht="54" x14ac:dyDescent="0.3">
      <c r="A15" s="38"/>
      <c r="B15" s="35" t="s">
        <v>5</v>
      </c>
      <c r="C15" s="2" t="s">
        <v>6</v>
      </c>
      <c r="D15" s="3" t="s">
        <v>92</v>
      </c>
      <c r="E15" s="16"/>
      <c r="F15" s="16"/>
      <c r="G15" s="38"/>
      <c r="H15" s="38"/>
      <c r="I15" s="38"/>
      <c r="J15" s="38"/>
      <c r="K15" s="38"/>
      <c r="AJ15" s="38"/>
      <c r="AK15" s="38"/>
    </row>
    <row r="16" spans="1:37" ht="17.5" x14ac:dyDescent="0.35">
      <c r="A16" s="38"/>
      <c r="B16" s="125" t="s">
        <v>136</v>
      </c>
      <c r="C16" s="80">
        <v>0.5</v>
      </c>
      <c r="D16" s="80">
        <v>800</v>
      </c>
      <c r="E16" s="16"/>
      <c r="F16" s="16"/>
      <c r="G16" s="38"/>
      <c r="H16" s="38"/>
      <c r="I16" s="38"/>
      <c r="J16" s="38"/>
      <c r="K16" s="38"/>
      <c r="N16" s="207" t="s">
        <v>29</v>
      </c>
      <c r="O16" s="208"/>
      <c r="P16" s="208"/>
      <c r="Q16" s="208"/>
      <c r="R16" s="208"/>
      <c r="S16" s="208"/>
      <c r="T16" s="208"/>
      <c r="U16" s="208"/>
      <c r="V16" s="208"/>
      <c r="W16" s="208"/>
      <c r="X16" s="223"/>
      <c r="Y16" s="207" t="s">
        <v>112</v>
      </c>
      <c r="Z16" s="208"/>
      <c r="AA16" s="208"/>
      <c r="AB16" s="223"/>
      <c r="AJ16" s="38"/>
      <c r="AK16" s="38"/>
    </row>
    <row r="17" spans="1:37" ht="17.5" x14ac:dyDescent="0.35">
      <c r="A17" s="38"/>
      <c r="B17" s="4" t="s">
        <v>107</v>
      </c>
      <c r="C17" s="80">
        <v>0.5</v>
      </c>
      <c r="D17" s="80">
        <v>600</v>
      </c>
      <c r="E17" s="16"/>
      <c r="F17" s="16"/>
      <c r="G17" s="38"/>
      <c r="H17" s="38"/>
      <c r="I17" s="38"/>
      <c r="J17" s="38"/>
      <c r="K17" s="38"/>
      <c r="N17" s="52" t="s">
        <v>5</v>
      </c>
      <c r="O17" s="48" t="s">
        <v>21</v>
      </c>
      <c r="P17" s="54" t="s">
        <v>22</v>
      </c>
      <c r="Q17" s="54" t="s">
        <v>23</v>
      </c>
      <c r="R17" s="54" t="s">
        <v>24</v>
      </c>
      <c r="S17" s="138" t="str">
        <f>P13&amp;" Min"</f>
        <v>NPK Min</v>
      </c>
      <c r="T17" s="45" t="s">
        <v>25</v>
      </c>
      <c r="U17" s="43" t="s">
        <v>26</v>
      </c>
      <c r="V17" s="43" t="s">
        <v>27</v>
      </c>
      <c r="W17" s="43" t="s">
        <v>28</v>
      </c>
      <c r="X17" s="141" t="s">
        <v>105</v>
      </c>
      <c r="Y17" s="142" t="s">
        <v>59</v>
      </c>
      <c r="Z17" s="128" t="s">
        <v>60</v>
      </c>
      <c r="AA17" s="128" t="s">
        <v>62</v>
      </c>
      <c r="AB17" s="137" t="s">
        <v>103</v>
      </c>
      <c r="AJ17" s="38"/>
      <c r="AK17" s="38"/>
    </row>
    <row r="18" spans="1:37" ht="17.5" x14ac:dyDescent="0.35">
      <c r="A18" s="38"/>
      <c r="B18" s="94" t="s">
        <v>141</v>
      </c>
      <c r="C18" s="80">
        <v>0.5</v>
      </c>
      <c r="D18" s="80">
        <v>1000</v>
      </c>
      <c r="E18" s="38"/>
      <c r="F18" s="38"/>
      <c r="G18" s="38"/>
      <c r="H18" s="38"/>
      <c r="I18" s="38"/>
      <c r="J18" s="38"/>
      <c r="K18" s="38"/>
      <c r="N18" s="126" t="str">
        <f t="shared" ref="N18:N24" si="1">B16</f>
        <v>Banana</v>
      </c>
      <c r="O18" s="56">
        <v>0</v>
      </c>
      <c r="P18" s="57">
        <v>0</v>
      </c>
      <c r="Q18" s="57">
        <v>0</v>
      </c>
      <c r="R18" s="57">
        <v>0</v>
      </c>
      <c r="S18" s="139">
        <v>0</v>
      </c>
      <c r="T18" s="180">
        <f>IF($G$26&lt;=0,0,326)</f>
        <v>326</v>
      </c>
      <c r="U18" s="181">
        <f>IF($G$27&lt;=0,0,150)</f>
        <v>150</v>
      </c>
      <c r="V18" s="181">
        <f t="shared" ref="V18:V21" si="2">IF($G$28&lt;=0,0,150)</f>
        <v>150</v>
      </c>
      <c r="W18" s="181">
        <f t="shared" ref="W18:W23" si="3">IF($G$29&lt;=0,0,100)</f>
        <v>100</v>
      </c>
      <c r="X18" s="182">
        <v>20</v>
      </c>
      <c r="Y18" s="171">
        <v>150</v>
      </c>
      <c r="Z18" s="172">
        <v>50</v>
      </c>
      <c r="AA18" s="172">
        <v>50</v>
      </c>
      <c r="AB18" s="173">
        <v>5</v>
      </c>
      <c r="AJ18" s="38"/>
      <c r="AK18" s="38"/>
    </row>
    <row r="19" spans="1:37" ht="17.5" x14ac:dyDescent="0.35">
      <c r="A19" s="38"/>
      <c r="B19" s="94" t="s">
        <v>131</v>
      </c>
      <c r="C19" s="80">
        <v>0.5</v>
      </c>
      <c r="D19" s="80">
        <v>1200</v>
      </c>
      <c r="E19" s="16"/>
      <c r="F19" s="16"/>
      <c r="G19" s="38"/>
      <c r="H19" s="38"/>
      <c r="I19" s="38"/>
      <c r="J19" s="38"/>
      <c r="K19" s="38"/>
      <c r="N19" s="126" t="str">
        <f t="shared" si="1"/>
        <v>Maize</v>
      </c>
      <c r="O19" s="58">
        <v>0</v>
      </c>
      <c r="P19" s="59">
        <v>0</v>
      </c>
      <c r="Q19" s="59">
        <v>0</v>
      </c>
      <c r="R19" s="59">
        <v>0</v>
      </c>
      <c r="S19" s="140">
        <v>0</v>
      </c>
      <c r="T19" s="183">
        <f>IF($G$26&lt;=0,0,326)</f>
        <v>326</v>
      </c>
      <c r="U19" s="184">
        <f t="shared" ref="U19" si="4">IF($G$27&lt;=0,0,150)</f>
        <v>150</v>
      </c>
      <c r="V19" s="184">
        <f t="shared" si="2"/>
        <v>150</v>
      </c>
      <c r="W19" s="184">
        <f t="shared" si="3"/>
        <v>100</v>
      </c>
      <c r="X19" s="185">
        <v>20</v>
      </c>
      <c r="Y19" s="174">
        <v>150</v>
      </c>
      <c r="Z19" s="172">
        <v>50</v>
      </c>
      <c r="AA19" s="172">
        <v>50</v>
      </c>
      <c r="AB19" s="173">
        <v>5</v>
      </c>
      <c r="AJ19" s="38"/>
      <c r="AK19" s="38"/>
    </row>
    <row r="20" spans="1:37" ht="17.5" x14ac:dyDescent="0.35">
      <c r="A20" s="38"/>
      <c r="B20" s="125" t="s">
        <v>129</v>
      </c>
      <c r="C20" s="80">
        <v>0.5</v>
      </c>
      <c r="D20" s="80">
        <v>600</v>
      </c>
      <c r="E20" s="16"/>
      <c r="F20" s="16"/>
      <c r="G20" s="38"/>
      <c r="H20" s="38"/>
      <c r="I20" s="38"/>
      <c r="J20" s="38"/>
      <c r="K20" s="38"/>
      <c r="N20" s="126" t="str">
        <f t="shared" si="1"/>
        <v>Irish potato</v>
      </c>
      <c r="O20" s="58">
        <v>0</v>
      </c>
      <c r="P20" s="59">
        <v>0</v>
      </c>
      <c r="Q20" s="59">
        <v>0</v>
      </c>
      <c r="R20" s="59">
        <v>0</v>
      </c>
      <c r="S20" s="140">
        <v>0</v>
      </c>
      <c r="T20" s="183">
        <f t="shared" ref="T20:T21" si="5">IF($G$26&lt;=0,0,260)</f>
        <v>260</v>
      </c>
      <c r="U20" s="184">
        <f>IF($G$27&lt;=0,0,150)</f>
        <v>150</v>
      </c>
      <c r="V20" s="184">
        <f t="shared" si="2"/>
        <v>150</v>
      </c>
      <c r="W20" s="184">
        <f t="shared" si="3"/>
        <v>100</v>
      </c>
      <c r="X20" s="185">
        <v>20</v>
      </c>
      <c r="Y20" s="174">
        <v>120</v>
      </c>
      <c r="Z20" s="172">
        <v>50</v>
      </c>
      <c r="AA20" s="172">
        <v>50</v>
      </c>
      <c r="AB20" s="173">
        <v>5</v>
      </c>
      <c r="AJ20" s="38"/>
      <c r="AK20" s="38"/>
    </row>
    <row r="21" spans="1:37" ht="17.5" x14ac:dyDescent="0.35">
      <c r="A21" s="38"/>
      <c r="B21" s="5" t="s">
        <v>113</v>
      </c>
      <c r="C21" s="80">
        <v>0.5</v>
      </c>
      <c r="D21" s="80">
        <v>1500</v>
      </c>
      <c r="E21" s="16"/>
      <c r="F21" s="16"/>
      <c r="G21" s="38"/>
      <c r="H21" s="38"/>
      <c r="I21" s="38"/>
      <c r="J21" s="38"/>
      <c r="K21" s="38"/>
      <c r="N21" s="126" t="str">
        <f t="shared" si="1"/>
        <v>Finger millet</v>
      </c>
      <c r="O21" s="58">
        <v>0</v>
      </c>
      <c r="P21" s="59">
        <v>0</v>
      </c>
      <c r="Q21" s="59">
        <v>0</v>
      </c>
      <c r="R21" s="59">
        <v>0</v>
      </c>
      <c r="S21" s="140">
        <v>0</v>
      </c>
      <c r="T21" s="183">
        <f t="shared" si="5"/>
        <v>260</v>
      </c>
      <c r="U21" s="184">
        <f>IF($G$27&lt;=0,0,120)</f>
        <v>120</v>
      </c>
      <c r="V21" s="184">
        <f t="shared" si="2"/>
        <v>150</v>
      </c>
      <c r="W21" s="184">
        <f t="shared" si="3"/>
        <v>100</v>
      </c>
      <c r="X21" s="185">
        <v>20</v>
      </c>
      <c r="Y21" s="174">
        <v>120</v>
      </c>
      <c r="Z21" s="172">
        <v>50</v>
      </c>
      <c r="AA21" s="172">
        <v>50</v>
      </c>
      <c r="AB21" s="173">
        <v>5</v>
      </c>
      <c r="AJ21" s="38"/>
      <c r="AK21" s="38"/>
    </row>
    <row r="22" spans="1:37" ht="17.5" x14ac:dyDescent="0.35">
      <c r="A22" s="38"/>
      <c r="B22" s="179" t="s">
        <v>146</v>
      </c>
      <c r="C22" s="80">
        <v>0.5</v>
      </c>
      <c r="D22" s="80">
        <v>1800</v>
      </c>
      <c r="E22" s="38"/>
      <c r="F22" s="38"/>
      <c r="G22" s="38"/>
      <c r="H22" s="38"/>
      <c r="I22" s="38"/>
      <c r="J22" s="38"/>
      <c r="K22" s="38"/>
      <c r="N22" s="126" t="str">
        <f t="shared" si="1"/>
        <v>Sorghum</v>
      </c>
      <c r="O22" s="58">
        <v>0</v>
      </c>
      <c r="P22" s="59">
        <v>0</v>
      </c>
      <c r="Q22" s="59">
        <v>0</v>
      </c>
      <c r="R22" s="59">
        <v>0</v>
      </c>
      <c r="S22" s="140">
        <v>0</v>
      </c>
      <c r="T22" s="183">
        <f>IF($G$26&lt;=0,0,260)</f>
        <v>260</v>
      </c>
      <c r="U22" s="184">
        <f>IF($G$27&lt;=0,0,200)</f>
        <v>200</v>
      </c>
      <c r="V22" s="184">
        <f>IF($G$28&lt;=0,0,150)</f>
        <v>150</v>
      </c>
      <c r="W22" s="184">
        <f t="shared" si="3"/>
        <v>100</v>
      </c>
      <c r="X22" s="185">
        <v>20</v>
      </c>
      <c r="Y22" s="174">
        <v>120</v>
      </c>
      <c r="Z22" s="172">
        <v>50</v>
      </c>
      <c r="AA22" s="172">
        <v>50</v>
      </c>
      <c r="AB22" s="173">
        <v>5</v>
      </c>
      <c r="AJ22" s="38"/>
      <c r="AK22" s="38"/>
    </row>
    <row r="23" spans="1:37" ht="18" x14ac:dyDescent="0.4">
      <c r="A23" s="38"/>
      <c r="B23" s="97" t="s">
        <v>100</v>
      </c>
      <c r="C23" s="97">
        <f>SUM(C16:C22)</f>
        <v>3.5</v>
      </c>
      <c r="D23" s="96"/>
      <c r="E23" s="16"/>
      <c r="F23" s="16"/>
      <c r="G23" s="38"/>
      <c r="H23" s="38"/>
      <c r="I23" s="38"/>
      <c r="J23" s="38"/>
      <c r="K23" s="38"/>
      <c r="N23" s="126" t="str">
        <f t="shared" si="1"/>
        <v>Bean</v>
      </c>
      <c r="O23" s="58">
        <v>0</v>
      </c>
      <c r="P23" s="59">
        <v>0</v>
      </c>
      <c r="Q23" s="59">
        <v>0</v>
      </c>
      <c r="R23" s="59">
        <v>0</v>
      </c>
      <c r="S23" s="146">
        <v>0</v>
      </c>
      <c r="T23" s="184">
        <f t="shared" ref="T23" si="6">IF($G$26&lt;=0,0,100)</f>
        <v>100</v>
      </c>
      <c r="U23" s="184">
        <f>IF($G$27&lt;=0,0,200)</f>
        <v>200</v>
      </c>
      <c r="V23" s="184">
        <f>IF($G$28&lt;=0,0,150)</f>
        <v>150</v>
      </c>
      <c r="W23" s="184">
        <f t="shared" si="3"/>
        <v>100</v>
      </c>
      <c r="X23" s="185">
        <v>20</v>
      </c>
      <c r="Y23" s="175">
        <v>50</v>
      </c>
      <c r="Z23" s="176">
        <v>50</v>
      </c>
      <c r="AA23" s="172">
        <v>50</v>
      </c>
      <c r="AB23" s="173">
        <v>5</v>
      </c>
      <c r="AJ23" s="38"/>
      <c r="AK23" s="38"/>
    </row>
    <row r="24" spans="1:37" ht="18" x14ac:dyDescent="0.4">
      <c r="A24" s="38"/>
      <c r="B24" s="203" t="s">
        <v>7</v>
      </c>
      <c r="C24" s="204"/>
      <c r="D24" s="204"/>
      <c r="E24" s="204"/>
      <c r="F24" s="204"/>
      <c r="G24" s="205"/>
      <c r="H24" s="38"/>
      <c r="I24" s="38"/>
      <c r="J24" s="38"/>
      <c r="K24" s="38"/>
      <c r="N24" s="126" t="str">
        <f t="shared" si="1"/>
        <v xml:space="preserve">Wheat </v>
      </c>
      <c r="O24" s="143">
        <v>0</v>
      </c>
      <c r="P24" s="145">
        <v>0</v>
      </c>
      <c r="Q24" s="145">
        <v>0</v>
      </c>
      <c r="R24" s="145">
        <v>0</v>
      </c>
      <c r="S24" s="144">
        <v>0</v>
      </c>
      <c r="T24" s="186">
        <f>IF($G$26&lt;=0,0,326)</f>
        <v>326</v>
      </c>
      <c r="U24" s="186">
        <f>IF($G$27&lt;=0,0,150)</f>
        <v>150</v>
      </c>
      <c r="V24" s="186">
        <f>IF($G$28&lt;=0,0,150)</f>
        <v>150</v>
      </c>
      <c r="W24" s="186">
        <f>IF($G$29&lt;=0,0,100)</f>
        <v>100</v>
      </c>
      <c r="X24" s="187">
        <v>20</v>
      </c>
      <c r="Y24" s="177">
        <v>150</v>
      </c>
      <c r="Z24" s="178">
        <v>50</v>
      </c>
      <c r="AA24" s="178">
        <v>50</v>
      </c>
      <c r="AB24" s="173">
        <v>5</v>
      </c>
      <c r="AJ24" s="38"/>
      <c r="AK24" s="38"/>
    </row>
    <row r="25" spans="1:37" ht="41.25" customHeight="1" x14ac:dyDescent="0.3">
      <c r="A25" s="38"/>
      <c r="B25" s="34" t="s">
        <v>8</v>
      </c>
      <c r="C25" s="18" t="s">
        <v>68</v>
      </c>
      <c r="D25" s="19" t="s">
        <v>72</v>
      </c>
      <c r="E25" s="18" t="s">
        <v>73</v>
      </c>
      <c r="F25" s="120" t="s">
        <v>102</v>
      </c>
      <c r="G25" s="20" t="s">
        <v>106</v>
      </c>
      <c r="H25" s="38"/>
      <c r="I25" s="38"/>
      <c r="J25" s="38"/>
      <c r="K25" s="38"/>
      <c r="AJ25" s="38"/>
      <c r="AK25" s="38"/>
    </row>
    <row r="26" spans="1:37" ht="17.5" x14ac:dyDescent="0.35">
      <c r="A26" s="38"/>
      <c r="B26" s="17" t="s">
        <v>9</v>
      </c>
      <c r="C26" s="26">
        <v>0.46</v>
      </c>
      <c r="D26" s="26">
        <v>0</v>
      </c>
      <c r="E26" s="27">
        <v>0</v>
      </c>
      <c r="F26" s="121">
        <v>0</v>
      </c>
      <c r="G26" s="188">
        <v>120000</v>
      </c>
      <c r="H26" s="38"/>
      <c r="I26" s="38"/>
      <c r="J26" s="38"/>
      <c r="K26" s="38"/>
      <c r="AJ26" s="38"/>
      <c r="AK26" s="38"/>
    </row>
    <row r="27" spans="1:37" ht="15" customHeight="1" x14ac:dyDescent="0.35">
      <c r="A27" s="38"/>
      <c r="B27" s="4" t="s">
        <v>71</v>
      </c>
      <c r="C27" s="28">
        <v>0</v>
      </c>
      <c r="D27" s="28">
        <v>0.46</v>
      </c>
      <c r="E27" s="29">
        <v>0</v>
      </c>
      <c r="F27" s="122">
        <v>0</v>
      </c>
      <c r="G27" s="188">
        <v>120000</v>
      </c>
      <c r="H27" s="38"/>
      <c r="I27" s="38"/>
      <c r="J27" s="38"/>
      <c r="K27" s="38"/>
      <c r="AJ27" s="38"/>
      <c r="AK27" s="38"/>
    </row>
    <row r="28" spans="1:37" ht="15" customHeight="1" x14ac:dyDescent="0.35">
      <c r="A28" s="38"/>
      <c r="B28" s="4" t="s">
        <v>70</v>
      </c>
      <c r="C28" s="28">
        <v>0.18</v>
      </c>
      <c r="D28" s="28">
        <v>0.46</v>
      </c>
      <c r="E28" s="29">
        <v>0</v>
      </c>
      <c r="F28" s="122">
        <v>0</v>
      </c>
      <c r="G28" s="188">
        <v>140000</v>
      </c>
      <c r="H28" s="38"/>
      <c r="I28" s="38"/>
      <c r="J28" s="38"/>
      <c r="K28" s="38"/>
      <c r="AJ28" s="38"/>
      <c r="AK28" s="38"/>
    </row>
    <row r="29" spans="1:37" ht="15" customHeight="1" x14ac:dyDescent="0.35">
      <c r="A29" s="38"/>
      <c r="B29" s="4" t="s">
        <v>69</v>
      </c>
      <c r="C29" s="28">
        <v>0</v>
      </c>
      <c r="D29" s="28">
        <v>0</v>
      </c>
      <c r="E29" s="29">
        <v>0.6</v>
      </c>
      <c r="F29" s="122">
        <v>0</v>
      </c>
      <c r="G29" s="188">
        <v>100000</v>
      </c>
      <c r="H29" s="38"/>
      <c r="I29" s="38"/>
      <c r="J29" s="38"/>
      <c r="K29" s="38"/>
      <c r="AJ29" s="38"/>
      <c r="AK29" s="38"/>
    </row>
    <row r="30" spans="1:37" ht="17.5" x14ac:dyDescent="0.35">
      <c r="A30" s="38"/>
      <c r="B30" s="123" t="s">
        <v>114</v>
      </c>
      <c r="C30" s="124">
        <v>0.17</v>
      </c>
      <c r="D30" s="124">
        <v>0.17</v>
      </c>
      <c r="E30" s="124">
        <v>0.17</v>
      </c>
      <c r="F30" s="124">
        <v>0</v>
      </c>
      <c r="G30" s="189">
        <v>140000</v>
      </c>
      <c r="H30" s="38"/>
      <c r="I30" s="38"/>
      <c r="J30" s="38"/>
      <c r="K30" s="38"/>
      <c r="L30" s="207" t="s">
        <v>31</v>
      </c>
      <c r="M30" s="208"/>
      <c r="N30" s="223"/>
      <c r="O30" s="230" t="s">
        <v>79</v>
      </c>
      <c r="P30" s="231"/>
      <c r="Q30" s="231"/>
      <c r="R30" s="231"/>
      <c r="S30" s="209"/>
      <c r="T30" s="224" t="s">
        <v>30</v>
      </c>
      <c r="U30" s="224"/>
      <c r="V30" s="224"/>
      <c r="W30" s="224"/>
      <c r="X30" s="224"/>
      <c r="Y30" s="224"/>
      <c r="Z30" s="224"/>
      <c r="AA30" s="224"/>
      <c r="AB30" s="224"/>
      <c r="AC30" s="224" t="s">
        <v>61</v>
      </c>
      <c r="AD30" s="224"/>
      <c r="AE30" s="224"/>
      <c r="AF30" s="224"/>
      <c r="AJ30" s="38"/>
      <c r="AK30" s="38"/>
    </row>
    <row r="31" spans="1:37" ht="16.5" customHeight="1" x14ac:dyDescent="0.3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60" t="s">
        <v>5</v>
      </c>
      <c r="M31" s="61" t="s">
        <v>20</v>
      </c>
      <c r="N31" s="45" t="s">
        <v>3</v>
      </c>
      <c r="O31" s="62" t="s">
        <v>56</v>
      </c>
      <c r="P31" s="63" t="s">
        <v>80</v>
      </c>
      <c r="Q31" s="63" t="s">
        <v>81</v>
      </c>
      <c r="R31" s="63" t="s">
        <v>82</v>
      </c>
      <c r="S31" s="63" t="str">
        <f>P13&amp;" kg"</f>
        <v>NPK kg</v>
      </c>
      <c r="T31" s="61" t="s">
        <v>34</v>
      </c>
      <c r="U31" s="61" t="s">
        <v>35</v>
      </c>
      <c r="V31" s="61" t="s">
        <v>36</v>
      </c>
      <c r="W31" s="61" t="s">
        <v>37</v>
      </c>
      <c r="X31" s="61" t="s">
        <v>38</v>
      </c>
      <c r="Y31" s="61" t="str">
        <f>P13&amp; " kg (N)"</f>
        <v>NPK kg (N)</v>
      </c>
      <c r="Z31" s="61" t="str">
        <f>P13&amp;" kg (P)"</f>
        <v>NPK kg (P)</v>
      </c>
      <c r="AA31" s="61" t="str">
        <f>P13&amp;" kg (K)"</f>
        <v>NPK kg (K)</v>
      </c>
      <c r="AB31" s="108" t="s">
        <v>104</v>
      </c>
      <c r="AC31" s="61" t="s">
        <v>59</v>
      </c>
      <c r="AD31" s="61" t="s">
        <v>60</v>
      </c>
      <c r="AE31" s="106" t="s">
        <v>62</v>
      </c>
      <c r="AF31" s="108" t="s">
        <v>103</v>
      </c>
      <c r="AG31" s="54"/>
      <c r="AH31" s="54"/>
      <c r="AI31" s="54"/>
      <c r="AJ31" s="38"/>
      <c r="AK31" s="38"/>
    </row>
    <row r="32" spans="1:37" ht="19.5" customHeight="1" x14ac:dyDescent="0.3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126" t="str">
        <f t="shared" ref="L32:M38" si="7">B16</f>
        <v>Banana</v>
      </c>
      <c r="M32" s="45">
        <f t="shared" si="7"/>
        <v>0.5</v>
      </c>
      <c r="N32" s="42">
        <f t="shared" ref="N32:N38" si="8">IF(D16&lt;=0,0,D16)</f>
        <v>800</v>
      </c>
      <c r="O32" s="64">
        <v>54.009143472832747</v>
      </c>
      <c r="P32" s="65">
        <v>0</v>
      </c>
      <c r="Q32" s="65">
        <v>36.44009131845467</v>
      </c>
      <c r="R32" s="65">
        <v>65.434507519750312</v>
      </c>
      <c r="S32" s="65">
        <v>0</v>
      </c>
      <c r="T32" s="66">
        <f t="shared" ref="T32:T38" si="9">IF(M32&lt;=0,0,O32*$Q$9)</f>
        <v>24.844205997503064</v>
      </c>
      <c r="U32" s="67">
        <f>IF(M32&lt;=0,0,P32*$R$10)</f>
        <v>0</v>
      </c>
      <c r="V32" s="67">
        <f>IF(M32&lt;=0,0,Q32*$Q$11)</f>
        <v>6.5592164373218402</v>
      </c>
      <c r="W32" s="67">
        <f>IF(M32&lt;=0,0,Q32*$R$11)</f>
        <v>7.3251871568357574</v>
      </c>
      <c r="X32" s="67">
        <f>IF(M32&lt;=0,0,R32*$S$12)</f>
        <v>32.586384744835655</v>
      </c>
      <c r="Y32" s="67">
        <f t="shared" ref="Y32:Y38" si="10">IF(OR(M32&lt;=0,$C$30=0,$C$30="%"),0,S32*$Q$13)</f>
        <v>0</v>
      </c>
      <c r="Z32" s="67">
        <f t="shared" ref="Z32:Z38" si="11">IF(OR(M32&lt;=0,$D$30=0,$D$30="%"),0,S32*$R$13)</f>
        <v>0</v>
      </c>
      <c r="AA32" s="67">
        <f t="shared" ref="AA32:AA38" si="12">IF(OR(M32&lt;=0,$E$30=0,$E$30="%"),0,S32*$S$13)</f>
        <v>0</v>
      </c>
      <c r="AB32" s="109">
        <f>IF(M32&lt;=0,0,S32*$T$13)</f>
        <v>0</v>
      </c>
      <c r="AC32" s="99">
        <f>T32+V32+Y32</f>
        <v>31.403422434824904</v>
      </c>
      <c r="AD32" s="99">
        <f>U32+W32+Z32</f>
        <v>7.3251871568357574</v>
      </c>
      <c r="AE32" s="107">
        <f>X32+AA32</f>
        <v>32.586384744835655</v>
      </c>
      <c r="AF32" s="113">
        <f>AB32</f>
        <v>0</v>
      </c>
      <c r="AG32" s="68"/>
      <c r="AH32" s="68"/>
      <c r="AI32" s="68"/>
      <c r="AJ32" s="38"/>
      <c r="AK32" s="38"/>
    </row>
    <row r="33" spans="1:37" ht="19.5" customHeight="1" x14ac:dyDescent="0.4">
      <c r="A33" s="38"/>
      <c r="B33" s="203" t="s">
        <v>10</v>
      </c>
      <c r="C33" s="205"/>
      <c r="D33" s="38"/>
      <c r="E33" s="38"/>
      <c r="F33" s="38"/>
      <c r="G33" s="38"/>
      <c r="H33" s="38"/>
      <c r="I33" s="38"/>
      <c r="J33" s="38"/>
      <c r="K33" s="38"/>
      <c r="L33" s="126" t="str">
        <f t="shared" si="7"/>
        <v>Maize</v>
      </c>
      <c r="M33" s="48">
        <f t="shared" si="7"/>
        <v>0.5</v>
      </c>
      <c r="N33" s="69">
        <f t="shared" si="8"/>
        <v>600</v>
      </c>
      <c r="O33" s="64">
        <v>11.128217792739049</v>
      </c>
      <c r="P33" s="65">
        <v>0</v>
      </c>
      <c r="Q33" s="65">
        <v>0</v>
      </c>
      <c r="R33" s="65">
        <v>0</v>
      </c>
      <c r="S33" s="65">
        <v>0</v>
      </c>
      <c r="T33" s="66">
        <f t="shared" si="9"/>
        <v>5.1189801846599625</v>
      </c>
      <c r="U33" s="67">
        <f t="shared" ref="U33:U37" si="13">IF(M33&lt;=0,0,P33*$R$10)</f>
        <v>0</v>
      </c>
      <c r="V33" s="67">
        <f>IF(M33&lt;=0,0,Q33*$Q$11)</f>
        <v>0</v>
      </c>
      <c r="W33" s="67">
        <f t="shared" ref="W33:W35" si="14">IF(M33&lt;=0,0,Q33*$R$11)</f>
        <v>0</v>
      </c>
      <c r="X33" s="67">
        <f t="shared" ref="X33:X35" si="15">IF(M33&lt;=0,0,R33*$S$12)</f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110">
        <f>IF(M33&lt;=0,0,S33*$T$13)</f>
        <v>0</v>
      </c>
      <c r="AC33" s="99">
        <f t="shared" ref="AC33:AC38" si="16">T33+V33+Y33</f>
        <v>5.1189801846599625</v>
      </c>
      <c r="AD33" s="99">
        <f t="shared" ref="AD33:AD38" si="17">U33+W33+Z33</f>
        <v>0</v>
      </c>
      <c r="AE33" s="107">
        <f t="shared" ref="AE33:AE38" si="18">X33+AA33</f>
        <v>0</v>
      </c>
      <c r="AF33" s="113">
        <f t="shared" ref="AF33:AF38" si="19">AB33</f>
        <v>0</v>
      </c>
      <c r="AG33" s="68"/>
      <c r="AH33" s="68"/>
      <c r="AI33" s="68"/>
      <c r="AJ33" s="38"/>
      <c r="AK33" s="38"/>
    </row>
    <row r="34" spans="1:37" ht="35" x14ac:dyDescent="0.35">
      <c r="A34" s="38"/>
      <c r="B34" s="8" t="s">
        <v>11</v>
      </c>
      <c r="C34" s="80">
        <v>500000</v>
      </c>
      <c r="D34" s="12"/>
      <c r="E34" s="16"/>
      <c r="F34" s="16"/>
      <c r="G34" s="38"/>
      <c r="H34" s="38"/>
      <c r="I34" s="38"/>
      <c r="J34" s="38"/>
      <c r="K34" s="38"/>
      <c r="L34" s="126" t="str">
        <f t="shared" si="7"/>
        <v>Irish potato</v>
      </c>
      <c r="M34" s="51">
        <f t="shared" si="7"/>
        <v>0.5</v>
      </c>
      <c r="N34" s="90">
        <f t="shared" si="8"/>
        <v>1000</v>
      </c>
      <c r="O34" s="70">
        <v>0</v>
      </c>
      <c r="P34" s="71">
        <v>0</v>
      </c>
      <c r="Q34" s="71">
        <v>77.073023434077371</v>
      </c>
      <c r="R34" s="71">
        <v>55.680560862266574</v>
      </c>
      <c r="S34" s="71">
        <v>0</v>
      </c>
      <c r="T34" s="85">
        <f t="shared" si="9"/>
        <v>0</v>
      </c>
      <c r="U34" s="86">
        <f t="shared" si="13"/>
        <v>0</v>
      </c>
      <c r="V34" s="86">
        <f>IF(M34&lt;=0,0,Q34*$Q$11)</f>
        <v>13.873144218133927</v>
      </c>
      <c r="W34" s="86">
        <f t="shared" si="14"/>
        <v>15.493219170718234</v>
      </c>
      <c r="X34" s="86">
        <f t="shared" si="15"/>
        <v>27.728919309408752</v>
      </c>
      <c r="Y34" s="86">
        <f t="shared" si="10"/>
        <v>0</v>
      </c>
      <c r="Z34" s="86">
        <f t="shared" si="11"/>
        <v>0</v>
      </c>
      <c r="AA34" s="86">
        <f t="shared" si="12"/>
        <v>0</v>
      </c>
      <c r="AB34" s="110">
        <f>IF(M34&lt;=0,0,S34*$T$13)</f>
        <v>0</v>
      </c>
      <c r="AC34" s="99">
        <f t="shared" si="16"/>
        <v>13.873144218133927</v>
      </c>
      <c r="AD34" s="99">
        <f t="shared" si="17"/>
        <v>15.493219170718234</v>
      </c>
      <c r="AE34" s="107">
        <f t="shared" si="18"/>
        <v>27.728919309408752</v>
      </c>
      <c r="AF34" s="113">
        <f t="shared" si="19"/>
        <v>0</v>
      </c>
      <c r="AG34" s="68"/>
      <c r="AH34" s="68"/>
      <c r="AI34" s="68"/>
      <c r="AJ34" s="38"/>
      <c r="AK34" s="38"/>
    </row>
    <row r="35" spans="1:37" ht="17.5" x14ac:dyDescent="0.35">
      <c r="A35" s="38"/>
      <c r="B35" s="213"/>
      <c r="C35" s="213"/>
      <c r="D35" s="30"/>
      <c r="E35" s="16"/>
      <c r="F35" s="16"/>
      <c r="G35" s="38"/>
      <c r="H35" s="38"/>
      <c r="I35" s="38"/>
      <c r="J35" s="38"/>
      <c r="K35" s="38"/>
      <c r="L35" s="126" t="str">
        <f t="shared" si="7"/>
        <v>Finger millet</v>
      </c>
      <c r="M35" s="51">
        <f t="shared" si="7"/>
        <v>0.5</v>
      </c>
      <c r="N35" s="69">
        <f t="shared" si="8"/>
        <v>1200</v>
      </c>
      <c r="O35" s="70">
        <v>0</v>
      </c>
      <c r="P35" s="71">
        <v>13.972095946452189</v>
      </c>
      <c r="Q35" s="71">
        <v>17.534118903814878</v>
      </c>
      <c r="R35" s="71">
        <v>0</v>
      </c>
      <c r="S35" s="65">
        <v>0</v>
      </c>
      <c r="T35" s="66">
        <f t="shared" si="9"/>
        <v>0</v>
      </c>
      <c r="U35" s="67">
        <f t="shared" si="13"/>
        <v>2.8086707271558189</v>
      </c>
      <c r="V35" s="67">
        <f>IF(M35&lt;=0,0,Q35*$Q$11)</f>
        <v>3.1561414026866781</v>
      </c>
      <c r="W35" s="67">
        <f t="shared" si="14"/>
        <v>3.5247085820448669</v>
      </c>
      <c r="X35" s="67">
        <f t="shared" si="15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110">
        <f>IF(M35&lt;=0,0,S35*$T$13)</f>
        <v>0</v>
      </c>
      <c r="AC35" s="99">
        <f t="shared" si="16"/>
        <v>3.1561414026866781</v>
      </c>
      <c r="AD35" s="99">
        <f t="shared" si="17"/>
        <v>6.3333793092006854</v>
      </c>
      <c r="AE35" s="107">
        <f t="shared" si="18"/>
        <v>0</v>
      </c>
      <c r="AF35" s="113">
        <f t="shared" si="19"/>
        <v>0</v>
      </c>
      <c r="AG35" s="68"/>
      <c r="AH35" s="68"/>
      <c r="AI35" s="68"/>
      <c r="AJ35" s="38"/>
      <c r="AK35" s="38"/>
    </row>
    <row r="36" spans="1:37" ht="17.5" x14ac:dyDescent="0.35">
      <c r="A36" s="38"/>
      <c r="B36" s="12"/>
      <c r="C36" s="72"/>
      <c r="D36" s="13"/>
      <c r="E36" s="16"/>
      <c r="F36" s="16"/>
      <c r="G36" s="38"/>
      <c r="H36" s="38"/>
      <c r="I36" s="38"/>
      <c r="J36" s="38"/>
      <c r="K36" s="38"/>
      <c r="L36" s="126" t="str">
        <f t="shared" si="7"/>
        <v>Sorghum</v>
      </c>
      <c r="M36" s="48">
        <f t="shared" si="7"/>
        <v>0.5</v>
      </c>
      <c r="N36" s="69">
        <f t="shared" si="8"/>
        <v>600</v>
      </c>
      <c r="O36" s="64">
        <v>0</v>
      </c>
      <c r="P36" s="65">
        <v>0</v>
      </c>
      <c r="Q36" s="65">
        <v>0</v>
      </c>
      <c r="R36" s="65">
        <v>0</v>
      </c>
      <c r="S36" s="65">
        <v>0</v>
      </c>
      <c r="T36" s="66">
        <f t="shared" si="9"/>
        <v>0</v>
      </c>
      <c r="U36" s="67">
        <f>IF(M36&lt;=0,0,P36*$R$10)</f>
        <v>0</v>
      </c>
      <c r="V36" s="67">
        <f>IF(M36&lt;=0,0,Q36*$Q$11)</f>
        <v>0</v>
      </c>
      <c r="W36" s="67">
        <f>IF(M36&lt;=0,0,Q36*$R$11)</f>
        <v>0</v>
      </c>
      <c r="X36" s="67">
        <f>IF(M36&lt;=0,0,R36*$S$12)</f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110">
        <f t="shared" ref="AB36:AB38" si="20">IF(M36&lt;=0,0,S36*$T$13)</f>
        <v>0</v>
      </c>
      <c r="AC36" s="99">
        <f t="shared" si="16"/>
        <v>0</v>
      </c>
      <c r="AD36" s="99">
        <f t="shared" si="17"/>
        <v>0</v>
      </c>
      <c r="AE36" s="107">
        <f t="shared" si="18"/>
        <v>0</v>
      </c>
      <c r="AF36" s="113">
        <f t="shared" si="19"/>
        <v>0</v>
      </c>
      <c r="AG36" s="68"/>
      <c r="AH36" s="68"/>
      <c r="AI36" s="68"/>
      <c r="AJ36" s="38"/>
      <c r="AK36" s="38"/>
    </row>
    <row r="37" spans="1:37" ht="17.5" x14ac:dyDescent="0.35">
      <c r="A37" s="38"/>
      <c r="B37" s="72"/>
      <c r="C37" s="12"/>
      <c r="D37" s="12"/>
      <c r="E37" s="16"/>
      <c r="F37" s="16"/>
      <c r="G37" s="38"/>
      <c r="H37" s="38"/>
      <c r="I37" s="38"/>
      <c r="J37" s="38"/>
      <c r="K37" s="38"/>
      <c r="L37" s="126" t="str">
        <f t="shared" si="7"/>
        <v>Bean</v>
      </c>
      <c r="M37" s="53">
        <f t="shared" si="7"/>
        <v>0.5</v>
      </c>
      <c r="N37" s="74">
        <f t="shared" si="8"/>
        <v>1500</v>
      </c>
      <c r="O37" s="64">
        <v>0</v>
      </c>
      <c r="P37" s="65">
        <v>0</v>
      </c>
      <c r="Q37" s="65">
        <v>0</v>
      </c>
      <c r="R37" s="65">
        <v>7.9247811149786846</v>
      </c>
      <c r="S37" s="65">
        <v>0</v>
      </c>
      <c r="T37" s="66">
        <f t="shared" si="9"/>
        <v>0</v>
      </c>
      <c r="U37" s="67">
        <f t="shared" si="13"/>
        <v>0</v>
      </c>
      <c r="V37" s="67">
        <f t="shared" ref="V37" si="21">IF(M37&lt;=0,0,Q37*$Q$11)</f>
        <v>0</v>
      </c>
      <c r="W37" s="67">
        <f>IF(M37&lt;=0,0,Q37*$R$11)</f>
        <v>0</v>
      </c>
      <c r="X37" s="67">
        <f>IF(M37&lt;=0,0,R37*$S$12)</f>
        <v>3.9465409952593844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111">
        <f t="shared" si="20"/>
        <v>0</v>
      </c>
      <c r="AC37" s="99">
        <f t="shared" si="16"/>
        <v>0</v>
      </c>
      <c r="AD37" s="99">
        <f t="shared" si="17"/>
        <v>0</v>
      </c>
      <c r="AE37" s="107">
        <f t="shared" si="18"/>
        <v>3.9465409952593844</v>
      </c>
      <c r="AF37" s="113">
        <f t="shared" si="19"/>
        <v>0</v>
      </c>
      <c r="AG37" s="68"/>
      <c r="AH37" s="68"/>
      <c r="AI37" s="68"/>
      <c r="AJ37" s="38"/>
      <c r="AK37" s="38"/>
    </row>
    <row r="38" spans="1:37" ht="17.5" x14ac:dyDescent="0.35">
      <c r="A38" s="38"/>
      <c r="B38" s="12"/>
      <c r="C38" s="12"/>
      <c r="D38" s="72"/>
      <c r="E38" s="16"/>
      <c r="F38" s="16"/>
      <c r="G38" s="38"/>
      <c r="H38" s="38"/>
      <c r="I38" s="38"/>
      <c r="J38" s="38"/>
      <c r="K38" s="38"/>
      <c r="L38" s="126" t="str">
        <f t="shared" si="7"/>
        <v xml:space="preserve">Wheat </v>
      </c>
      <c r="M38" s="61">
        <f t="shared" si="7"/>
        <v>0.5</v>
      </c>
      <c r="N38" s="61">
        <f t="shared" si="8"/>
        <v>1800</v>
      </c>
      <c r="O38" s="98">
        <v>59.603414538752588</v>
      </c>
      <c r="P38" s="98">
        <v>0</v>
      </c>
      <c r="Q38" s="98">
        <v>10.892936778325579</v>
      </c>
      <c r="R38" s="98">
        <v>5.7884657935310342</v>
      </c>
      <c r="S38" s="98">
        <v>0</v>
      </c>
      <c r="T38" s="98">
        <f t="shared" si="9"/>
        <v>27.417570687826192</v>
      </c>
      <c r="U38" s="98">
        <f>IF(M38&lt;=0,0,P38*$R$10)</f>
        <v>0</v>
      </c>
      <c r="V38" s="98">
        <f>IF(M38&lt;=0,0,Q38*$Q$11)</f>
        <v>1.960728620098604</v>
      </c>
      <c r="W38" s="98">
        <f>IF(M38&lt;=0,0,Q38*$R$11)</f>
        <v>2.1896981511790079</v>
      </c>
      <c r="X38" s="98">
        <f>IF(M38&lt;=0,0,R38*$S$12)</f>
        <v>2.8826559651784547</v>
      </c>
      <c r="Y38" s="98">
        <f t="shared" si="10"/>
        <v>0</v>
      </c>
      <c r="Z38" s="98">
        <f t="shared" si="11"/>
        <v>0</v>
      </c>
      <c r="AA38" s="98">
        <f t="shared" si="12"/>
        <v>0</v>
      </c>
      <c r="AB38" s="109">
        <f t="shared" si="20"/>
        <v>0</v>
      </c>
      <c r="AC38" s="99">
        <f t="shared" si="16"/>
        <v>29.378299307924795</v>
      </c>
      <c r="AD38" s="99">
        <f t="shared" si="17"/>
        <v>2.1896981511790079</v>
      </c>
      <c r="AE38" s="107">
        <f t="shared" si="18"/>
        <v>2.8826559651784547</v>
      </c>
      <c r="AF38" s="113">
        <f t="shared" si="19"/>
        <v>0</v>
      </c>
      <c r="AG38" s="59"/>
      <c r="AH38" s="59"/>
      <c r="AI38" s="59"/>
      <c r="AJ38" s="38"/>
      <c r="AK38" s="38"/>
    </row>
    <row r="39" spans="1:37" ht="17.5" x14ac:dyDescent="0.35">
      <c r="A39" s="38"/>
      <c r="B39" s="12"/>
      <c r="C39" s="12"/>
      <c r="D39" s="12"/>
      <c r="E39" s="16"/>
      <c r="F39" s="16"/>
      <c r="G39" s="38"/>
      <c r="H39" s="38"/>
      <c r="I39" s="38"/>
      <c r="J39" s="38"/>
      <c r="K39" s="38"/>
      <c r="L39" s="127" t="s">
        <v>32</v>
      </c>
      <c r="M39" s="60"/>
      <c r="N39" s="61"/>
      <c r="O39" s="98">
        <f>SUM(O32:O38)</f>
        <v>124.74077580432439</v>
      </c>
      <c r="P39" s="98">
        <f t="shared" ref="P39:S39" si="22">SUM(P32:P38)</f>
        <v>13.972095946452189</v>
      </c>
      <c r="Q39" s="98">
        <f t="shared" si="22"/>
        <v>141.9401704346725</v>
      </c>
      <c r="R39" s="98">
        <f t="shared" si="22"/>
        <v>134.8283152905266</v>
      </c>
      <c r="S39" s="98">
        <f t="shared" si="22"/>
        <v>0</v>
      </c>
      <c r="T39" s="100">
        <f>T32+T33+T34+T35+T36+T37+T38</f>
        <v>57.38075686998922</v>
      </c>
      <c r="U39" s="100">
        <f t="shared" ref="U39:AA39" si="23">U32+U33+U34+U35+U36+U37+U38</f>
        <v>2.8086707271558189</v>
      </c>
      <c r="V39" s="100">
        <f t="shared" si="23"/>
        <v>25.549230678241049</v>
      </c>
      <c r="W39" s="100">
        <f t="shared" si="23"/>
        <v>28.532813060777865</v>
      </c>
      <c r="X39" s="100">
        <f t="shared" si="23"/>
        <v>67.144501014682248</v>
      </c>
      <c r="Y39" s="100">
        <f t="shared" si="23"/>
        <v>0</v>
      </c>
      <c r="Z39" s="100">
        <f t="shared" si="23"/>
        <v>0</v>
      </c>
      <c r="AA39" s="100">
        <f t="shared" si="23"/>
        <v>0</v>
      </c>
      <c r="AB39" s="112">
        <f>AB32+AB33+AB34+AB35+AB36+AB37+AB38</f>
        <v>0</v>
      </c>
      <c r="AC39" s="101">
        <f t="shared" ref="AC39:AE39" si="24">AC32+AC33+AC34+AC35+AC36+AC37+AC38</f>
        <v>82.929987548230272</v>
      </c>
      <c r="AD39" s="101">
        <f t="shared" si="24"/>
        <v>31.341483787933683</v>
      </c>
      <c r="AE39" s="101">
        <f t="shared" si="24"/>
        <v>67.144501014682248</v>
      </c>
      <c r="AF39" s="112">
        <f>AF32+AF33+AF34+AF35+AF36+AF37+AF38</f>
        <v>0</v>
      </c>
      <c r="AJ39" s="38"/>
      <c r="AK39" s="38"/>
    </row>
    <row r="40" spans="1:37" ht="17.5" x14ac:dyDescent="0.35">
      <c r="A40" s="38"/>
      <c r="B40" s="12"/>
      <c r="C40" s="12"/>
      <c r="D40" s="12"/>
      <c r="E40" s="16"/>
      <c r="F40" s="16"/>
      <c r="G40" s="38"/>
      <c r="H40" s="38"/>
      <c r="I40" s="38"/>
      <c r="J40" s="38"/>
      <c r="K40" s="38"/>
      <c r="L40" s="60"/>
      <c r="M40" s="60"/>
      <c r="N40" s="60" t="s">
        <v>101</v>
      </c>
      <c r="O40" s="98">
        <f>$M$32*O32+$M$33*O33+$M$34*O34+$M$35*O35+$M$36*O36+$M$37*O37+O38*$M$38</f>
        <v>62.370387902162193</v>
      </c>
      <c r="P40" s="98">
        <f t="shared" ref="P40:S40" si="25">$M$32*P32+$M$33*P33+$M$34*P34+$M$35*P35+$M$36*P36+$M$37*P37+P38*$M$38</f>
        <v>6.9860479732260945</v>
      </c>
      <c r="Q40" s="98">
        <f>$M$32*Q32+$M$33*Q33+$M$34*Q34+$M$35*Q35+$M$36*Q36+$M$37*Q37+Q38*$M$38</f>
        <v>70.970085217336248</v>
      </c>
      <c r="R40" s="98">
        <f t="shared" si="25"/>
        <v>67.414157645263302</v>
      </c>
      <c r="S40" s="98">
        <f t="shared" si="25"/>
        <v>0</v>
      </c>
      <c r="AJ40" s="38"/>
      <c r="AK40" s="38"/>
    </row>
    <row r="41" spans="1:37" ht="18" x14ac:dyDescent="0.4">
      <c r="A41" s="38"/>
      <c r="B41" s="214" t="s">
        <v>67</v>
      </c>
      <c r="C41" s="215"/>
      <c r="D41" s="215"/>
      <c r="E41" s="215"/>
      <c r="F41" s="215"/>
      <c r="G41" s="215"/>
      <c r="H41" s="38"/>
      <c r="I41" s="38"/>
      <c r="J41" s="38"/>
      <c r="K41" s="38"/>
      <c r="AJ41" s="38"/>
      <c r="AK41" s="38"/>
    </row>
    <row r="42" spans="1:37" ht="18" x14ac:dyDescent="0.4">
      <c r="A42" s="38"/>
      <c r="B42" s="23"/>
      <c r="C42" s="221" t="s">
        <v>41</v>
      </c>
      <c r="D42" s="222"/>
      <c r="E42" s="222"/>
      <c r="F42" s="222"/>
      <c r="G42" s="222"/>
      <c r="H42" s="38"/>
      <c r="I42" s="38"/>
      <c r="J42" s="38"/>
      <c r="K42" s="38"/>
      <c r="AJ42" s="38"/>
      <c r="AK42" s="38"/>
    </row>
    <row r="43" spans="1:37" ht="18" x14ac:dyDescent="0.4">
      <c r="A43" s="38"/>
      <c r="B43" s="33" t="s">
        <v>5</v>
      </c>
      <c r="C43" s="32" t="s">
        <v>9</v>
      </c>
      <c r="D43" s="32" t="s">
        <v>12</v>
      </c>
      <c r="E43" s="32" t="s">
        <v>13</v>
      </c>
      <c r="F43" s="32" t="s">
        <v>14</v>
      </c>
      <c r="G43" s="32" t="str">
        <f>B30</f>
        <v>NPK</v>
      </c>
      <c r="H43" s="38"/>
      <c r="I43" s="38"/>
      <c r="J43" s="38"/>
      <c r="K43" s="38"/>
      <c r="AJ43" s="38"/>
      <c r="AK43" s="38"/>
    </row>
    <row r="44" spans="1:37" ht="18" x14ac:dyDescent="0.35">
      <c r="A44" s="38"/>
      <c r="B44" s="33" t="str">
        <f>B16</f>
        <v>Banana</v>
      </c>
      <c r="C44" s="6">
        <f>O32</f>
        <v>54.009143472832747</v>
      </c>
      <c r="D44" s="6">
        <f>P32</f>
        <v>0</v>
      </c>
      <c r="E44" s="6">
        <f>Q32</f>
        <v>36.44009131845467</v>
      </c>
      <c r="F44" s="6">
        <f>R32</f>
        <v>65.434507519750312</v>
      </c>
      <c r="G44" s="6">
        <f>S32</f>
        <v>0</v>
      </c>
      <c r="H44" s="38"/>
      <c r="I44" s="38"/>
      <c r="J44" s="38"/>
      <c r="K44" s="38"/>
      <c r="L44" s="39" t="s">
        <v>85</v>
      </c>
      <c r="N44" s="207" t="s">
        <v>47</v>
      </c>
      <c r="O44" s="208"/>
      <c r="P44" s="208"/>
      <c r="Q44" s="208"/>
      <c r="R44" s="208"/>
      <c r="S44" s="208"/>
      <c r="T44" s="208"/>
      <c r="U44" s="209"/>
      <c r="Y44" s="54"/>
      <c r="AJ44" s="38"/>
      <c r="AK44" s="38"/>
    </row>
    <row r="45" spans="1:37" ht="18" x14ac:dyDescent="0.35">
      <c r="A45" s="38"/>
      <c r="B45" s="33" t="str">
        <f t="shared" ref="B45:B50" si="26">B17</f>
        <v>Maize</v>
      </c>
      <c r="C45" s="6">
        <f t="shared" ref="C45:E50" si="27">O33</f>
        <v>11.128217792739049</v>
      </c>
      <c r="D45" s="6">
        <f t="shared" si="27"/>
        <v>0</v>
      </c>
      <c r="E45" s="6">
        <f t="shared" si="27"/>
        <v>0</v>
      </c>
      <c r="F45" s="6">
        <f t="shared" ref="F45:F50" si="28">R33</f>
        <v>0</v>
      </c>
      <c r="G45" s="6">
        <f t="shared" ref="G45:G50" si="29">S33</f>
        <v>0</v>
      </c>
      <c r="H45" s="38"/>
      <c r="I45" s="38"/>
      <c r="J45" s="38"/>
      <c r="K45" s="38"/>
      <c r="N45" s="73" t="s">
        <v>5</v>
      </c>
      <c r="O45" s="48" t="s">
        <v>48</v>
      </c>
      <c r="P45" s="54" t="s">
        <v>49</v>
      </c>
      <c r="Q45" s="54" t="s">
        <v>50</v>
      </c>
      <c r="R45" s="54" t="s">
        <v>51</v>
      </c>
      <c r="S45" s="75" t="str">
        <f>P13</f>
        <v>NPK</v>
      </c>
      <c r="T45" s="48" t="s">
        <v>89</v>
      </c>
      <c r="U45" s="61" t="s">
        <v>10</v>
      </c>
      <c r="Y45" s="54"/>
      <c r="AJ45" s="38"/>
      <c r="AK45" s="38"/>
    </row>
    <row r="46" spans="1:37" ht="18" x14ac:dyDescent="0.35">
      <c r="A46" s="38"/>
      <c r="B46" s="33" t="str">
        <f t="shared" si="26"/>
        <v>Irish potato</v>
      </c>
      <c r="C46" s="6">
        <f t="shared" si="27"/>
        <v>0</v>
      </c>
      <c r="D46" s="6">
        <f t="shared" si="27"/>
        <v>0</v>
      </c>
      <c r="E46" s="6">
        <f t="shared" si="27"/>
        <v>77.073023434077371</v>
      </c>
      <c r="F46" s="6">
        <f t="shared" si="28"/>
        <v>55.680560862266574</v>
      </c>
      <c r="G46" s="6">
        <f t="shared" si="29"/>
        <v>0</v>
      </c>
      <c r="H46" s="38"/>
      <c r="I46" s="38"/>
      <c r="J46" s="38"/>
      <c r="K46" s="38"/>
      <c r="L46" s="54"/>
      <c r="N46" s="126" t="str">
        <f t="shared" ref="N46:N52" si="30">B16</f>
        <v>Banana</v>
      </c>
      <c r="O46" s="56">
        <f>O32*$U$9</f>
        <v>129621.94433479859</v>
      </c>
      <c r="P46" s="57">
        <f>P32*$U$10</f>
        <v>0</v>
      </c>
      <c r="Q46" s="57">
        <f>Q32*$U$11</f>
        <v>102032.25569167307</v>
      </c>
      <c r="R46" s="57">
        <f>R32*$U$12</f>
        <v>130869.01503950062</v>
      </c>
      <c r="S46" s="57">
        <f>S32*$U$13</f>
        <v>0</v>
      </c>
      <c r="T46" s="87">
        <f>SUM(O46:S46)*M32</f>
        <v>181261.60753298615</v>
      </c>
      <c r="U46" s="216"/>
      <c r="Y46" s="54"/>
      <c r="AJ46" s="38"/>
      <c r="AK46" s="38"/>
    </row>
    <row r="47" spans="1:37" ht="15.75" customHeight="1" x14ac:dyDescent="0.35">
      <c r="A47" s="38"/>
      <c r="B47" s="33" t="str">
        <f t="shared" si="26"/>
        <v>Finger millet</v>
      </c>
      <c r="C47" s="6">
        <f t="shared" si="27"/>
        <v>0</v>
      </c>
      <c r="D47" s="6">
        <f t="shared" si="27"/>
        <v>13.972095946452189</v>
      </c>
      <c r="E47" s="6">
        <f t="shared" si="27"/>
        <v>17.534118903814878</v>
      </c>
      <c r="F47" s="6">
        <f t="shared" si="28"/>
        <v>0</v>
      </c>
      <c r="G47" s="6">
        <f t="shared" si="29"/>
        <v>0</v>
      </c>
      <c r="H47" s="38"/>
      <c r="I47" s="38"/>
      <c r="J47" s="38"/>
      <c r="K47" s="38"/>
      <c r="N47" s="126" t="str">
        <f t="shared" si="30"/>
        <v>Maize</v>
      </c>
      <c r="O47" s="56">
        <f t="shared" ref="O47:O52" si="31">O33*$U$9</f>
        <v>26707.722702573716</v>
      </c>
      <c r="P47" s="57">
        <f t="shared" ref="P47:P52" si="32">P33*$U$10</f>
        <v>0</v>
      </c>
      <c r="Q47" s="57">
        <f t="shared" ref="Q47:Q52" si="33">Q33*$U$11</f>
        <v>0</v>
      </c>
      <c r="R47" s="57">
        <f t="shared" ref="R47:R52" si="34">R33*$U$12</f>
        <v>0</v>
      </c>
      <c r="S47" s="57">
        <f t="shared" ref="S47:S52" si="35">S33*$U$13</f>
        <v>0</v>
      </c>
      <c r="T47" s="88">
        <f>SUM(O47:S47)*M33</f>
        <v>13353.861351286858</v>
      </c>
      <c r="U47" s="217"/>
      <c r="AJ47" s="38"/>
      <c r="AK47" s="38"/>
    </row>
    <row r="48" spans="1:37" ht="18" x14ac:dyDescent="0.35">
      <c r="A48" s="38"/>
      <c r="B48" s="33" t="str">
        <f t="shared" si="26"/>
        <v>Sorghum</v>
      </c>
      <c r="C48" s="6">
        <f t="shared" si="27"/>
        <v>0</v>
      </c>
      <c r="D48" s="6">
        <f t="shared" si="27"/>
        <v>0</v>
      </c>
      <c r="E48" s="6">
        <f t="shared" si="27"/>
        <v>0</v>
      </c>
      <c r="F48" s="6">
        <f t="shared" si="28"/>
        <v>0</v>
      </c>
      <c r="G48" s="6">
        <f t="shared" si="29"/>
        <v>0</v>
      </c>
      <c r="H48" s="38"/>
      <c r="I48" s="38"/>
      <c r="J48" s="38"/>
      <c r="K48" s="38"/>
      <c r="N48" s="126" t="str">
        <f t="shared" si="30"/>
        <v>Irish potato</v>
      </c>
      <c r="O48" s="56">
        <f t="shared" si="31"/>
        <v>0</v>
      </c>
      <c r="P48" s="57">
        <f t="shared" si="32"/>
        <v>0</v>
      </c>
      <c r="Q48" s="57">
        <f t="shared" si="33"/>
        <v>215804.46561541664</v>
      </c>
      <c r="R48" s="57">
        <f t="shared" si="34"/>
        <v>111361.12172453315</v>
      </c>
      <c r="S48" s="57">
        <f t="shared" si="35"/>
        <v>0</v>
      </c>
      <c r="T48" s="88">
        <f>SUM(O48:S48)*M34</f>
        <v>163582.7936699749</v>
      </c>
      <c r="U48" s="217"/>
      <c r="AJ48" s="38"/>
      <c r="AK48" s="38"/>
    </row>
    <row r="49" spans="1:37" ht="18" x14ac:dyDescent="0.35">
      <c r="A49" s="38"/>
      <c r="B49" s="33" t="str">
        <f t="shared" si="26"/>
        <v>Bean</v>
      </c>
      <c r="C49" s="6">
        <f t="shared" si="27"/>
        <v>0</v>
      </c>
      <c r="D49" s="6">
        <f t="shared" si="27"/>
        <v>0</v>
      </c>
      <c r="E49" s="6">
        <f t="shared" si="27"/>
        <v>0</v>
      </c>
      <c r="F49" s="6">
        <f t="shared" si="28"/>
        <v>7.9247811149786846</v>
      </c>
      <c r="G49" s="6">
        <f t="shared" si="29"/>
        <v>0</v>
      </c>
      <c r="H49" s="38"/>
      <c r="I49" s="38"/>
      <c r="J49" s="38"/>
      <c r="K49" s="38"/>
      <c r="N49" s="126" t="str">
        <f t="shared" si="30"/>
        <v>Finger millet</v>
      </c>
      <c r="O49" s="56">
        <f t="shared" si="31"/>
        <v>0</v>
      </c>
      <c r="P49" s="57">
        <f t="shared" si="32"/>
        <v>33533.030271485251</v>
      </c>
      <c r="Q49" s="57">
        <f t="shared" si="33"/>
        <v>49095.532930681657</v>
      </c>
      <c r="R49" s="57">
        <f t="shared" si="34"/>
        <v>0</v>
      </c>
      <c r="S49" s="57">
        <f t="shared" si="35"/>
        <v>0</v>
      </c>
      <c r="T49" s="88">
        <f>SUM(O49:S49)*M35</f>
        <v>41314.28160108345</v>
      </c>
      <c r="U49" s="217"/>
      <c r="AJ49" s="38"/>
      <c r="AK49" s="38"/>
    </row>
    <row r="50" spans="1:37" ht="18" x14ac:dyDescent="0.35">
      <c r="A50" s="38"/>
      <c r="B50" s="33" t="str">
        <f t="shared" si="26"/>
        <v xml:space="preserve">Wheat </v>
      </c>
      <c r="C50" s="118">
        <f t="shared" si="27"/>
        <v>59.603414538752588</v>
      </c>
      <c r="D50" s="118">
        <f t="shared" si="27"/>
        <v>0</v>
      </c>
      <c r="E50" s="118">
        <f t="shared" si="27"/>
        <v>10.892936778325579</v>
      </c>
      <c r="F50" s="119">
        <f t="shared" si="28"/>
        <v>5.7884657935310342</v>
      </c>
      <c r="G50" s="6">
        <f t="shared" si="29"/>
        <v>0</v>
      </c>
      <c r="H50" s="38"/>
      <c r="I50" s="38"/>
      <c r="J50" s="38"/>
      <c r="K50" s="38"/>
      <c r="N50" s="126" t="str">
        <f t="shared" si="30"/>
        <v>Sorghum</v>
      </c>
      <c r="O50" s="56">
        <f t="shared" si="31"/>
        <v>0</v>
      </c>
      <c r="P50" s="57">
        <f t="shared" si="32"/>
        <v>0</v>
      </c>
      <c r="Q50" s="57">
        <f t="shared" si="33"/>
        <v>0</v>
      </c>
      <c r="R50" s="57">
        <f t="shared" si="34"/>
        <v>0</v>
      </c>
      <c r="S50" s="57">
        <f t="shared" si="35"/>
        <v>0</v>
      </c>
      <c r="T50" s="88">
        <f t="shared" ref="T50" si="36">SUM(O50:S50)*M36</f>
        <v>0</v>
      </c>
      <c r="U50" s="217"/>
      <c r="W50" s="206"/>
      <c r="X50" s="206"/>
      <c r="AJ50" s="38"/>
      <c r="AK50" s="38"/>
    </row>
    <row r="51" spans="1:37" ht="18" x14ac:dyDescent="0.4">
      <c r="A51" s="38"/>
      <c r="B51" s="31" t="s">
        <v>94</v>
      </c>
      <c r="C51" s="170">
        <f>O40</f>
        <v>62.370387902162193</v>
      </c>
      <c r="D51" s="170">
        <f>P40</f>
        <v>6.9860479732260945</v>
      </c>
      <c r="E51" s="170">
        <f>Q40</f>
        <v>70.970085217336248</v>
      </c>
      <c r="F51" s="170">
        <f>R40</f>
        <v>67.414157645263302</v>
      </c>
      <c r="G51" s="170">
        <f>S40</f>
        <v>0</v>
      </c>
      <c r="H51" s="14"/>
      <c r="I51" s="38"/>
      <c r="J51" s="38"/>
      <c r="K51" s="38"/>
      <c r="N51" s="126" t="str">
        <f t="shared" si="30"/>
        <v>Bean</v>
      </c>
      <c r="O51" s="56">
        <f t="shared" si="31"/>
        <v>0</v>
      </c>
      <c r="P51" s="57">
        <f t="shared" si="32"/>
        <v>0</v>
      </c>
      <c r="Q51" s="57">
        <f t="shared" si="33"/>
        <v>0</v>
      </c>
      <c r="R51" s="57">
        <f t="shared" si="34"/>
        <v>15849.56222995737</v>
      </c>
      <c r="S51" s="57">
        <f t="shared" si="35"/>
        <v>0</v>
      </c>
      <c r="T51" s="89">
        <f>SUM(O51:S51)*M37</f>
        <v>7924.7811149786849</v>
      </c>
      <c r="U51" s="217"/>
      <c r="W51" s="54"/>
      <c r="X51" s="54"/>
      <c r="AJ51" s="38"/>
      <c r="AK51" s="38"/>
    </row>
    <row r="52" spans="1:37" ht="18" x14ac:dyDescent="0.4">
      <c r="A52" s="38"/>
      <c r="B52" s="214" t="s">
        <v>93</v>
      </c>
      <c r="C52" s="219"/>
      <c r="D52" s="220"/>
      <c r="E52" s="38"/>
      <c r="F52" s="38"/>
      <c r="G52" s="38"/>
      <c r="H52" s="14"/>
      <c r="I52" s="38"/>
      <c r="J52" s="38"/>
      <c r="K52" s="38"/>
      <c r="N52" s="126" t="str">
        <f t="shared" si="30"/>
        <v xml:space="preserve">Wheat </v>
      </c>
      <c r="O52" s="56">
        <f t="shared" si="31"/>
        <v>143048.19489300621</v>
      </c>
      <c r="P52" s="57">
        <f t="shared" si="32"/>
        <v>0</v>
      </c>
      <c r="Q52" s="57">
        <f t="shared" si="33"/>
        <v>30500.22297931162</v>
      </c>
      <c r="R52" s="57">
        <f t="shared" si="34"/>
        <v>11576.931587062069</v>
      </c>
      <c r="S52" s="57">
        <f t="shared" si="35"/>
        <v>0</v>
      </c>
      <c r="T52" s="89">
        <f>SUM(O52:S52)*M38</f>
        <v>92562.674729689956</v>
      </c>
      <c r="U52" s="218"/>
      <c r="W52" s="54"/>
      <c r="X52" s="54"/>
      <c r="Z52" s="54"/>
      <c r="AA52" s="54"/>
      <c r="AJ52" s="38"/>
      <c r="AK52" s="38"/>
    </row>
    <row r="53" spans="1:37" ht="36" customHeight="1" x14ac:dyDescent="0.3">
      <c r="A53" s="38"/>
      <c r="B53" s="33" t="s">
        <v>5</v>
      </c>
      <c r="C53" s="36" t="s">
        <v>63</v>
      </c>
      <c r="D53" s="37" t="s">
        <v>42</v>
      </c>
      <c r="E53" s="38"/>
      <c r="F53" s="38"/>
      <c r="G53" s="38"/>
      <c r="H53" s="15"/>
      <c r="I53" s="38"/>
      <c r="J53" s="38"/>
      <c r="K53" s="38"/>
      <c r="L53" s="93"/>
      <c r="M53" s="93"/>
      <c r="N53" s="102" t="s">
        <v>100</v>
      </c>
      <c r="O53" s="100">
        <f>SUM(O46:O52)</f>
        <v>299377.86193037848</v>
      </c>
      <c r="P53" s="100">
        <f t="shared" ref="P53:S53" si="37">SUM(P46:P52)</f>
        <v>33533.030271485251</v>
      </c>
      <c r="Q53" s="100">
        <f t="shared" si="37"/>
        <v>397432.47721708298</v>
      </c>
      <c r="R53" s="100">
        <f t="shared" si="37"/>
        <v>269656.63058105321</v>
      </c>
      <c r="S53" s="100">
        <f t="shared" si="37"/>
        <v>0</v>
      </c>
      <c r="T53" s="103">
        <f>T52+T51+T50+T49+T48+T47+T46</f>
        <v>500000</v>
      </c>
      <c r="U53" s="60">
        <f>C34</f>
        <v>500000</v>
      </c>
      <c r="Y53" s="54"/>
      <c r="AJ53" s="38"/>
      <c r="AK53" s="38"/>
    </row>
    <row r="54" spans="1:37" ht="18" x14ac:dyDescent="0.35">
      <c r="A54" s="38"/>
      <c r="B54" s="33" t="str">
        <f>B16</f>
        <v>Banana</v>
      </c>
      <c r="C54" s="7">
        <f>W60</f>
        <v>16373.720713166233</v>
      </c>
      <c r="D54" s="7">
        <f>X60</f>
        <v>12736453.355467012</v>
      </c>
      <c r="E54" s="38"/>
      <c r="F54" s="38"/>
      <c r="G54" s="38"/>
      <c r="H54" s="76"/>
      <c r="I54" s="38"/>
      <c r="J54" s="38"/>
      <c r="K54" s="38"/>
      <c r="L54" s="93"/>
      <c r="M54" s="93"/>
      <c r="N54" s="93"/>
      <c r="Y54" s="77"/>
      <c r="AJ54" s="38"/>
      <c r="AK54" s="38"/>
    </row>
    <row r="55" spans="1:37" ht="18" x14ac:dyDescent="0.35">
      <c r="A55" s="38"/>
      <c r="B55" s="33" t="str">
        <f t="shared" ref="B55:B60" si="38">B17</f>
        <v>Maize</v>
      </c>
      <c r="C55" s="7">
        <f>W64</f>
        <v>389.14364487278874</v>
      </c>
      <c r="D55" s="7">
        <f>X64</f>
        <v>206778.46422109951</v>
      </c>
      <c r="E55" s="38"/>
      <c r="F55" s="38"/>
      <c r="G55" s="38"/>
      <c r="H55" s="76"/>
      <c r="I55" s="38"/>
      <c r="J55" s="38"/>
      <c r="K55" s="38"/>
      <c r="L55" s="93"/>
      <c r="M55" s="93"/>
      <c r="N55" s="93"/>
      <c r="Y55" s="77"/>
      <c r="AJ55" s="38"/>
      <c r="AK55" s="38"/>
    </row>
    <row r="56" spans="1:37" ht="18" x14ac:dyDescent="0.35">
      <c r="A56" s="38"/>
      <c r="B56" s="33" t="str">
        <f t="shared" si="38"/>
        <v>Irish potato</v>
      </c>
      <c r="C56" s="7">
        <f>W68</f>
        <v>6591.3074794471049</v>
      </c>
      <c r="D56" s="7">
        <f>X68</f>
        <v>6264141.8921071561</v>
      </c>
      <c r="E56" s="38"/>
      <c r="F56" s="38"/>
      <c r="G56" s="38"/>
      <c r="H56" s="76"/>
      <c r="I56" s="38"/>
      <c r="J56" s="38"/>
      <c r="K56" s="38"/>
      <c r="L56" s="93"/>
      <c r="M56" s="93"/>
      <c r="Y56" s="77"/>
      <c r="AJ56" s="38"/>
      <c r="AK56" s="38"/>
    </row>
    <row r="57" spans="1:37" ht="18" x14ac:dyDescent="0.35">
      <c r="A57" s="38"/>
      <c r="B57" s="33" t="str">
        <f t="shared" si="38"/>
        <v>Finger millet</v>
      </c>
      <c r="C57" s="7">
        <f>W72</f>
        <v>854.36769193327189</v>
      </c>
      <c r="D57" s="7">
        <f>X72</f>
        <v>942612.66711775935</v>
      </c>
      <c r="E57" s="38"/>
      <c r="F57" s="38"/>
      <c r="G57" s="38"/>
      <c r="H57" s="76"/>
      <c r="I57" s="38"/>
      <c r="J57" s="38"/>
      <c r="K57" s="38"/>
      <c r="Y57" s="77"/>
      <c r="AJ57" s="38"/>
      <c r="AK57" s="38"/>
    </row>
    <row r="58" spans="1:37" ht="18" x14ac:dyDescent="0.35">
      <c r="A58" s="38"/>
      <c r="B58" s="33" t="str">
        <f t="shared" si="38"/>
        <v>Sorghum</v>
      </c>
      <c r="C58" s="7">
        <f>W76</f>
        <v>0</v>
      </c>
      <c r="D58" s="7">
        <f>X76</f>
        <v>0</v>
      </c>
      <c r="E58" s="38"/>
      <c r="F58" s="38"/>
      <c r="G58" s="38"/>
      <c r="H58" s="76"/>
      <c r="I58" s="38"/>
      <c r="J58" s="38"/>
      <c r="K58" s="38"/>
      <c r="L58" s="207" t="s">
        <v>46</v>
      </c>
      <c r="M58" s="208"/>
      <c r="N58" s="208"/>
      <c r="O58" s="208"/>
      <c r="P58" s="208"/>
      <c r="Q58" s="208"/>
      <c r="R58" s="223"/>
      <c r="S58" s="207" t="s">
        <v>44</v>
      </c>
      <c r="T58" s="208"/>
      <c r="U58" s="208"/>
      <c r="V58" s="208"/>
      <c r="W58" s="207" t="s">
        <v>95</v>
      </c>
      <c r="X58" s="223"/>
      <c r="AJ58" s="38"/>
      <c r="AK58" s="38"/>
    </row>
    <row r="59" spans="1:37" ht="18" x14ac:dyDescent="0.35">
      <c r="A59" s="38"/>
      <c r="B59" s="33" t="str">
        <f t="shared" si="38"/>
        <v>Bean</v>
      </c>
      <c r="C59" s="117">
        <f>W80</f>
        <v>121.20206620027307</v>
      </c>
      <c r="D59" s="7">
        <f>X80</f>
        <v>165953.53707045224</v>
      </c>
      <c r="E59" s="38"/>
      <c r="F59" s="38"/>
      <c r="G59" s="38"/>
      <c r="H59" s="76"/>
      <c r="I59" s="38"/>
      <c r="J59" s="38"/>
      <c r="K59" s="38"/>
      <c r="L59" s="60" t="s">
        <v>0</v>
      </c>
      <c r="M59" s="61" t="s">
        <v>97</v>
      </c>
      <c r="N59" s="61" t="s">
        <v>98</v>
      </c>
      <c r="O59" s="61" t="s">
        <v>99</v>
      </c>
      <c r="P59" s="60" t="s">
        <v>43</v>
      </c>
      <c r="Q59" s="61" t="s">
        <v>57</v>
      </c>
      <c r="R59" s="61" t="s">
        <v>45</v>
      </c>
      <c r="S59" s="61" t="s">
        <v>39</v>
      </c>
      <c r="T59" s="61" t="s">
        <v>40</v>
      </c>
      <c r="U59" s="61" t="s">
        <v>2</v>
      </c>
      <c r="V59" s="61" t="s">
        <v>1</v>
      </c>
      <c r="W59" s="61" t="s">
        <v>63</v>
      </c>
      <c r="X59" s="61" t="s">
        <v>42</v>
      </c>
      <c r="AJ59" s="38"/>
      <c r="AK59" s="38"/>
    </row>
    <row r="60" spans="1:37" ht="18" x14ac:dyDescent="0.35">
      <c r="A60" s="38"/>
      <c r="B60" s="33" t="str">
        <f t="shared" si="38"/>
        <v xml:space="preserve">Wheat </v>
      </c>
      <c r="C60" s="117">
        <f>W84</f>
        <v>1063.1780999038892</v>
      </c>
      <c r="D60" s="7">
        <f>X84</f>
        <v>1728595.2303676205</v>
      </c>
      <c r="E60" s="38"/>
      <c r="F60" s="38"/>
      <c r="G60" s="38"/>
      <c r="H60" s="38"/>
      <c r="I60" s="38"/>
      <c r="J60" s="38"/>
      <c r="K60" s="38"/>
      <c r="L60" s="114" t="s">
        <v>132</v>
      </c>
      <c r="M60" s="194">
        <v>40.45787854436599</v>
      </c>
      <c r="N60" s="194">
        <v>8.0078785443659868</v>
      </c>
      <c r="O60" s="194">
        <v>0.91800000000000004</v>
      </c>
      <c r="P60" s="61">
        <f>M60-N60</f>
        <v>32.450000000000003</v>
      </c>
      <c r="Q60" s="98">
        <f>IFERROR((M60-N60*POWER(O60,AC32)-(P60)),0)</f>
        <v>7.4625597086653315</v>
      </c>
      <c r="R60" s="98">
        <f>Q60*1000</f>
        <v>7462.5597086653315</v>
      </c>
      <c r="S60" s="104">
        <f>R60*N32*M32</f>
        <v>2985023.8834661325</v>
      </c>
      <c r="T60" s="116">
        <f>S60+S61+S62+S63</f>
        <v>6549488.2852664925</v>
      </c>
      <c r="U60" s="116">
        <f>T46</f>
        <v>181261.60753298615</v>
      </c>
      <c r="V60" s="116">
        <f>T60-U60</f>
        <v>6368226.6777335061</v>
      </c>
      <c r="W60" s="103">
        <f>R60+R61+R62+R63</f>
        <v>16373.720713166233</v>
      </c>
      <c r="X60" s="147">
        <f>IF(OR(M32=0,M32=1),$V$60,IF(M32&lt;1,$V$60/M32,IF(M32&gt;1,$V$60/M32,0)))</f>
        <v>12736453.355467012</v>
      </c>
      <c r="AJ60" s="38"/>
      <c r="AK60" s="38"/>
    </row>
    <row r="61" spans="1:37" ht="18" x14ac:dyDescent="0.4">
      <c r="A61" s="38"/>
      <c r="B61" s="214" t="s">
        <v>91</v>
      </c>
      <c r="C61" s="226"/>
      <c r="D61" s="227"/>
      <c r="E61" s="38"/>
      <c r="F61" s="38"/>
      <c r="G61" s="38"/>
      <c r="H61" s="38"/>
      <c r="I61" s="38"/>
      <c r="J61" s="38"/>
      <c r="K61" s="38"/>
      <c r="L61" s="114" t="s">
        <v>133</v>
      </c>
      <c r="M61" s="194">
        <v>24.498619048870072</v>
      </c>
      <c r="N61" s="194">
        <v>1.6486190488700743</v>
      </c>
      <c r="O61" s="194">
        <v>0.86899999999999999</v>
      </c>
      <c r="P61" s="61">
        <f t="shared" ref="P61" si="39">M61-N61</f>
        <v>22.849999999999998</v>
      </c>
      <c r="Q61" s="98">
        <f>IFERROR(((M61-N61*POWER(O61,AD32)-(P61))),0)</f>
        <v>1.0591937624706951</v>
      </c>
      <c r="R61" s="98">
        <f>Q61*1000</f>
        <v>1059.193762470695</v>
      </c>
      <c r="S61" s="104">
        <f>R61*N32*M32</f>
        <v>423677.50498827797</v>
      </c>
      <c r="T61" s="116"/>
      <c r="U61" s="116"/>
      <c r="V61" s="116"/>
      <c r="W61" s="103"/>
      <c r="X61" s="60"/>
      <c r="AJ61" s="38"/>
      <c r="AK61" s="38"/>
    </row>
    <row r="62" spans="1:37" ht="35" x14ac:dyDescent="0.35">
      <c r="A62" s="38"/>
      <c r="B62" s="9" t="s">
        <v>90</v>
      </c>
      <c r="C62" s="228">
        <f>V98</f>
        <v>11022267.57317555</v>
      </c>
      <c r="D62" s="229"/>
      <c r="E62" s="38"/>
      <c r="F62" s="38"/>
      <c r="G62" s="38"/>
      <c r="H62" s="38"/>
      <c r="I62" s="38"/>
      <c r="J62" s="38"/>
      <c r="K62" s="38"/>
      <c r="L62" s="114" t="s">
        <v>134</v>
      </c>
      <c r="M62" s="194">
        <v>36.357910641689891</v>
      </c>
      <c r="N62" s="194">
        <v>8.232910641689891</v>
      </c>
      <c r="O62" s="194">
        <v>0.91</v>
      </c>
      <c r="P62" s="148">
        <f t="shared" ref="P62" si="40">M62-N62</f>
        <v>28.125</v>
      </c>
      <c r="Q62" s="149">
        <f>IFERROR(((M62-N62*POWER(O62,AE32)-(P62))),0)</f>
        <v>7.8519672420302058</v>
      </c>
      <c r="R62" s="149">
        <f t="shared" ref="R62" si="41">Q62*1000</f>
        <v>7851.9672420302059</v>
      </c>
      <c r="S62" s="150">
        <f>R62*N32*M32</f>
        <v>3140786.8968120823</v>
      </c>
      <c r="T62" s="151"/>
      <c r="U62" s="151"/>
      <c r="V62" s="151"/>
      <c r="W62" s="161"/>
      <c r="X62" s="148"/>
      <c r="AJ62" s="38"/>
      <c r="AK62" s="38"/>
    </row>
    <row r="63" spans="1:37" x14ac:dyDescent="0.3">
      <c r="A63" s="38"/>
      <c r="B63" s="79"/>
      <c r="C63" s="79"/>
      <c r="D63" s="79"/>
      <c r="E63" s="79"/>
      <c r="F63" s="79"/>
      <c r="G63" s="10"/>
      <c r="H63" s="14"/>
      <c r="I63" s="38"/>
      <c r="J63" s="38"/>
      <c r="K63" s="38"/>
      <c r="L63" s="114" t="s">
        <v>135</v>
      </c>
      <c r="M63" s="195">
        <v>0</v>
      </c>
      <c r="N63" s="115">
        <v>0</v>
      </c>
      <c r="O63" s="115">
        <v>0</v>
      </c>
      <c r="P63" s="148">
        <f t="shared" ref="P63" si="42">M63-N63</f>
        <v>0</v>
      </c>
      <c r="Q63" s="98">
        <f>IFERROR((M63-N63*POWER(O63,AF32)-(P63)),0)</f>
        <v>0</v>
      </c>
      <c r="R63" s="149">
        <f t="shared" ref="R63" si="43">Q63*1000</f>
        <v>0</v>
      </c>
      <c r="S63" s="150">
        <f>R63*N32*M32</f>
        <v>0</v>
      </c>
      <c r="T63" s="151"/>
      <c r="U63" s="151"/>
      <c r="V63" s="151"/>
      <c r="W63" s="103"/>
      <c r="X63" s="147"/>
      <c r="AJ63" s="38"/>
      <c r="AK63" s="38"/>
    </row>
    <row r="64" spans="1:37" x14ac:dyDescent="0.3">
      <c r="A64" s="38"/>
      <c r="B64" s="79"/>
      <c r="C64" s="79"/>
      <c r="D64" s="79"/>
      <c r="E64" s="79"/>
      <c r="F64" s="79"/>
      <c r="G64" s="15"/>
      <c r="H64" s="14"/>
      <c r="I64" s="38"/>
      <c r="J64" s="38"/>
      <c r="K64" s="38"/>
      <c r="L64" s="60" t="s">
        <v>108</v>
      </c>
      <c r="M64" s="194">
        <v>4.7100000990553452</v>
      </c>
      <c r="N64" s="194">
        <v>1.2100000990553448</v>
      </c>
      <c r="O64" s="194">
        <v>0.92700000000000005</v>
      </c>
      <c r="P64" s="61">
        <f t="shared" ref="P64:P67" si="44">M64-N64</f>
        <v>3.5000000000000004</v>
      </c>
      <c r="Q64" s="98">
        <f>IFERROR((M64-N64*POWER(O64,AC33)-(P64)),0)</f>
        <v>0.38914364487278874</v>
      </c>
      <c r="R64" s="98">
        <f>Q64*1000</f>
        <v>389.14364487278874</v>
      </c>
      <c r="S64" s="104">
        <f>R64*$N$33*$M$33</f>
        <v>116743.09346183662</v>
      </c>
      <c r="T64" s="116">
        <f>S64+S65+S66+S67</f>
        <v>116743.09346183662</v>
      </c>
      <c r="U64" s="116">
        <f>T47</f>
        <v>13353.861351286858</v>
      </c>
      <c r="V64" s="116">
        <f>T64-U64</f>
        <v>103389.23211054975</v>
      </c>
      <c r="W64" s="103">
        <f>R64+R65+R66+R67</f>
        <v>389.14364487278874</v>
      </c>
      <c r="X64" s="60">
        <f>IF(OR(M33=0,M33=1),$V$64,IF(M33&lt;1,$V$64/M33,IF(M33&gt;1,$V$64/M33,0)))</f>
        <v>206778.46422109951</v>
      </c>
      <c r="AJ64" s="38"/>
      <c r="AK64" s="38"/>
    </row>
    <row r="65" spans="1:37" x14ac:dyDescent="0.3">
      <c r="A65" s="38"/>
      <c r="B65" s="79"/>
      <c r="C65" s="79"/>
      <c r="D65" s="79"/>
      <c r="E65" s="79"/>
      <c r="F65" s="79"/>
      <c r="G65" s="78"/>
      <c r="H65" s="15"/>
      <c r="I65" s="38"/>
      <c r="J65" s="38"/>
      <c r="K65" s="38"/>
      <c r="L65" s="60" t="s">
        <v>109</v>
      </c>
      <c r="M65" s="194">
        <v>4.4317183939944282</v>
      </c>
      <c r="N65" s="194">
        <v>0.53171839399442788</v>
      </c>
      <c r="O65" s="194">
        <v>0.86599999999999999</v>
      </c>
      <c r="P65" s="61">
        <f t="shared" si="44"/>
        <v>3.9000000000000004</v>
      </c>
      <c r="Q65" s="149">
        <f>IFERROR(((M65-N65*POWER(O65,AD33)-(P65))),0)</f>
        <v>0</v>
      </c>
      <c r="R65" s="98">
        <f t="shared" ref="R65:R67" si="45">Q65*1000</f>
        <v>0</v>
      </c>
      <c r="S65" s="104">
        <f t="shared" ref="S65:S67" si="46">R65*$N$33*$M$33</f>
        <v>0</v>
      </c>
      <c r="T65" s="116"/>
      <c r="U65" s="116"/>
      <c r="V65" s="116"/>
      <c r="W65" s="103"/>
      <c r="X65" s="60"/>
      <c r="AJ65" s="38"/>
      <c r="AK65" s="38"/>
    </row>
    <row r="66" spans="1:37" ht="14.5" x14ac:dyDescent="0.35">
      <c r="A66" s="38"/>
      <c r="B66" s="79"/>
      <c r="C66" s="79"/>
      <c r="D66" s="79"/>
      <c r="E66" s="79"/>
      <c r="F66" s="79"/>
      <c r="G66" s="78"/>
      <c r="H66" s="79"/>
      <c r="I66" s="38"/>
      <c r="J66" s="38"/>
      <c r="K66" s="38"/>
      <c r="L66" s="114" t="s">
        <v>110</v>
      </c>
      <c r="M66"/>
      <c r="N66"/>
      <c r="O66"/>
      <c r="P66" s="61">
        <f t="shared" si="44"/>
        <v>0</v>
      </c>
      <c r="Q66" s="98">
        <f>IFERROR(((M66-N66*POWER(O66,AE33)-(P66))),0)</f>
        <v>0</v>
      </c>
      <c r="R66" s="98">
        <f t="shared" si="45"/>
        <v>0</v>
      </c>
      <c r="S66" s="104">
        <f t="shared" si="46"/>
        <v>0</v>
      </c>
      <c r="T66" s="116"/>
      <c r="U66" s="116"/>
      <c r="V66" s="116"/>
      <c r="W66" s="103"/>
      <c r="X66" s="147"/>
      <c r="AJ66" s="38"/>
      <c r="AK66" s="38"/>
    </row>
    <row r="67" spans="1:37" x14ac:dyDescent="0.3">
      <c r="A67" s="38"/>
      <c r="B67" s="79"/>
      <c r="C67" s="79"/>
      <c r="D67" s="79"/>
      <c r="E67" s="79"/>
      <c r="F67" s="79"/>
      <c r="G67" s="78"/>
      <c r="H67" s="79"/>
      <c r="I67" s="38"/>
      <c r="J67" s="38"/>
      <c r="K67" s="38"/>
      <c r="L67" s="114" t="s">
        <v>111</v>
      </c>
      <c r="M67" s="195">
        <v>0</v>
      </c>
      <c r="N67" s="115">
        <v>0</v>
      </c>
      <c r="O67" s="115">
        <v>0</v>
      </c>
      <c r="P67" s="148">
        <f t="shared" si="44"/>
        <v>0</v>
      </c>
      <c r="Q67" s="98">
        <f>IFERROR((M67-N67*POWER(O67,AF33)-(P67)),0)</f>
        <v>0</v>
      </c>
      <c r="R67" s="98">
        <f t="shared" si="45"/>
        <v>0</v>
      </c>
      <c r="S67" s="104">
        <f t="shared" si="46"/>
        <v>0</v>
      </c>
      <c r="T67" s="116"/>
      <c r="U67" s="116"/>
      <c r="V67" s="116"/>
      <c r="W67" s="103"/>
      <c r="X67" s="60"/>
      <c r="AJ67" s="38"/>
      <c r="AK67" s="38"/>
    </row>
    <row r="68" spans="1:37" x14ac:dyDescent="0.3">
      <c r="A68" s="38"/>
      <c r="B68" s="79"/>
      <c r="C68" s="79"/>
      <c r="D68" s="79"/>
      <c r="E68" s="79"/>
      <c r="F68" s="79"/>
      <c r="G68" s="78"/>
      <c r="H68" s="79"/>
      <c r="I68" s="38"/>
      <c r="J68" s="38"/>
      <c r="K68" s="38"/>
      <c r="L68" s="200" t="s">
        <v>137</v>
      </c>
      <c r="M68" s="194">
        <v>16.385186224269226</v>
      </c>
      <c r="N68" s="194">
        <v>1.435186224269227</v>
      </c>
      <c r="O68" s="194">
        <v>0.91300000000000003</v>
      </c>
      <c r="P68" s="148">
        <f t="shared" ref="P68:P71" si="47">M68-N68</f>
        <v>14.95</v>
      </c>
      <c r="Q68" s="149">
        <f>IFERROR((M68-N68*POWER(O68,AC34)-(P68)),0)</f>
        <v>1.029197798064347</v>
      </c>
      <c r="R68" s="98">
        <f t="shared" ref="R68:R71" si="48">Q68*1000</f>
        <v>1029.1977980643469</v>
      </c>
      <c r="S68" s="104">
        <f>R68*$N$34*$M$34</f>
        <v>514598.89903217345</v>
      </c>
      <c r="T68" s="116">
        <f>S68+S69+S70+S71</f>
        <v>3295653.7397235529</v>
      </c>
      <c r="U68" s="116">
        <f>T48</f>
        <v>163582.7936699749</v>
      </c>
      <c r="V68" s="116">
        <f>T68-U68</f>
        <v>3132070.9460535781</v>
      </c>
      <c r="W68" s="103">
        <f>R68+R69+R70+R71</f>
        <v>6591.3074794471049</v>
      </c>
      <c r="X68" s="60">
        <f>IF(OR(M34=0,M34=1),$V$68,IF(M34&lt;1,$V$68/M34,IF(M34&gt;1,$V$68/M34,0)))</f>
        <v>6264141.8921071561</v>
      </c>
      <c r="AJ68" s="38"/>
      <c r="AK68" s="38"/>
    </row>
    <row r="69" spans="1:37" ht="46.5" customHeight="1" x14ac:dyDescent="0.35">
      <c r="A69" s="38"/>
      <c r="B69" s="225" t="s">
        <v>122</v>
      </c>
      <c r="C69" s="225"/>
      <c r="D69" s="225"/>
      <c r="E69" s="225"/>
      <c r="F69" s="225"/>
      <c r="G69" s="225"/>
      <c r="H69" s="225"/>
      <c r="I69" s="225"/>
      <c r="J69" s="24"/>
      <c r="K69" s="24"/>
      <c r="L69" s="200" t="s">
        <v>138</v>
      </c>
      <c r="M69" s="194">
        <v>13.258460684401571</v>
      </c>
      <c r="N69" s="194">
        <v>3.7984606844015723</v>
      </c>
      <c r="O69" s="194">
        <v>0.97399999999999998</v>
      </c>
      <c r="P69" s="148">
        <f t="shared" si="47"/>
        <v>9.4599999999999991</v>
      </c>
      <c r="Q69" s="149">
        <f>IFERROR(((M69-N69*POWER(O69,AD34)-(P69))),0)</f>
        <v>1.2729509487788135</v>
      </c>
      <c r="R69" s="149">
        <f t="shared" si="48"/>
        <v>1272.9509487788137</v>
      </c>
      <c r="S69" s="104">
        <f t="shared" ref="S69:S71" si="49">R69*$N$34*$M$34</f>
        <v>636475.47438940685</v>
      </c>
      <c r="T69" s="151"/>
      <c r="U69" s="151"/>
      <c r="V69" s="151"/>
      <c r="W69" s="161"/>
      <c r="X69" s="162"/>
      <c r="AJ69" s="24"/>
      <c r="AK69" s="24"/>
    </row>
    <row r="70" spans="1:37" ht="17.25" customHeight="1" x14ac:dyDescent="0.3">
      <c r="A70" s="38"/>
      <c r="B70" s="79"/>
      <c r="C70" s="79"/>
      <c r="D70" s="79"/>
      <c r="E70" s="79"/>
      <c r="F70" s="79"/>
      <c r="G70" s="78"/>
      <c r="H70" s="79"/>
      <c r="I70" s="38"/>
      <c r="J70" s="38"/>
      <c r="K70" s="38"/>
      <c r="L70" s="200" t="s">
        <v>139</v>
      </c>
      <c r="M70" s="194">
        <v>15.978533474442465</v>
      </c>
      <c r="N70" s="194">
        <v>4.5765334744424653</v>
      </c>
      <c r="O70" s="194">
        <v>0.90500000000000003</v>
      </c>
      <c r="P70" s="148">
        <f t="shared" si="47"/>
        <v>11.401999999999999</v>
      </c>
      <c r="Q70" s="149">
        <f>IFERROR(((M70-N70*POWER(O70,AE34)-(P70))),0)</f>
        <v>4.2891587326039442</v>
      </c>
      <c r="R70" s="149">
        <f t="shared" si="48"/>
        <v>4289.1587326039444</v>
      </c>
      <c r="S70" s="104">
        <f t="shared" si="49"/>
        <v>2144579.3663019724</v>
      </c>
      <c r="T70" s="151"/>
      <c r="U70" s="151"/>
      <c r="V70" s="151"/>
      <c r="W70" s="161"/>
      <c r="X70" s="162"/>
      <c r="AJ70" s="38"/>
      <c r="AK70" s="38"/>
    </row>
    <row r="71" spans="1:37" ht="30" customHeight="1" x14ac:dyDescent="0.35">
      <c r="A71" s="38"/>
      <c r="B71" s="225" t="s">
        <v>123</v>
      </c>
      <c r="C71" s="225"/>
      <c r="D71" s="225"/>
      <c r="E71" s="225"/>
      <c r="F71" s="225"/>
      <c r="G71" s="225"/>
      <c r="H71" s="225"/>
      <c r="I71" s="225"/>
      <c r="J71" s="24"/>
      <c r="K71" s="24"/>
      <c r="L71" s="200" t="s">
        <v>140</v>
      </c>
      <c r="M71" s="195">
        <v>0</v>
      </c>
      <c r="N71" s="115">
        <v>0</v>
      </c>
      <c r="O71" s="115">
        <v>0</v>
      </c>
      <c r="P71" s="148">
        <f t="shared" si="47"/>
        <v>0</v>
      </c>
      <c r="Q71" s="149">
        <f>IFERROR((M71-N71*POWER(O71,AF34)-(P71)),0)</f>
        <v>0</v>
      </c>
      <c r="R71" s="149">
        <f t="shared" si="48"/>
        <v>0</v>
      </c>
      <c r="S71" s="104">
        <f t="shared" si="49"/>
        <v>0</v>
      </c>
      <c r="T71" s="151"/>
      <c r="U71" s="151"/>
      <c r="V71" s="151"/>
      <c r="W71" s="161"/>
      <c r="X71" s="148"/>
      <c r="AJ71" s="24"/>
      <c r="AK71" s="24"/>
    </row>
    <row r="72" spans="1:37" x14ac:dyDescent="0.3">
      <c r="A72" s="38"/>
      <c r="B72" s="79"/>
      <c r="C72" s="79"/>
      <c r="D72" s="79"/>
      <c r="E72" s="79"/>
      <c r="F72" s="79"/>
      <c r="G72" s="38"/>
      <c r="H72" s="38"/>
      <c r="I72" s="38"/>
      <c r="J72" s="38"/>
      <c r="K72" s="38"/>
      <c r="L72" s="165" t="s">
        <v>115</v>
      </c>
      <c r="M72" s="194">
        <v>1.6457575847754444</v>
      </c>
      <c r="N72" s="194">
        <v>0.18588258477544439</v>
      </c>
      <c r="O72" s="194">
        <v>0.90900000000000003</v>
      </c>
      <c r="P72" s="148">
        <f t="shared" ref="P72:P74" si="50">M72-N72</f>
        <v>1.459875</v>
      </c>
      <c r="Q72" s="149">
        <f>IFERROR((M72-N72*POWER(O72,AC35)-(P72)),0)</f>
        <v>4.8332627709871012E-2</v>
      </c>
      <c r="R72" s="149">
        <f t="shared" ref="R72:R74" si="51">Q72*1000</f>
        <v>48.332627709871012</v>
      </c>
      <c r="S72" s="150">
        <f>R72*$N$35*$M$35</f>
        <v>28999.576625922607</v>
      </c>
      <c r="T72" s="151">
        <f>S72+S73+S74+S75</f>
        <v>512620.61515996314</v>
      </c>
      <c r="U72" s="151">
        <f>T49</f>
        <v>41314.28160108345</v>
      </c>
      <c r="V72" s="151">
        <f>T72-U72</f>
        <v>471306.33355887968</v>
      </c>
      <c r="W72" s="103">
        <f>R72+R73+R74+R75</f>
        <v>854.36769193327189</v>
      </c>
      <c r="X72" s="147">
        <f>IF(OR(M35=0,M35=1),$V$72,IF(M35&lt;1,$V$72/M35,IF(M35&gt;1,$V$72/M35,0)))</f>
        <v>942612.66711775935</v>
      </c>
      <c r="AJ72" s="38"/>
      <c r="AK72" s="38"/>
    </row>
    <row r="73" spans="1:37" ht="47.25" customHeight="1" x14ac:dyDescent="0.35">
      <c r="A73" s="38"/>
      <c r="B73" s="225" t="s">
        <v>124</v>
      </c>
      <c r="C73" s="225"/>
      <c r="D73" s="225"/>
      <c r="E73" s="225"/>
      <c r="F73" s="225"/>
      <c r="G73" s="225"/>
      <c r="H73" s="225"/>
      <c r="I73" s="225"/>
      <c r="J73" s="24"/>
      <c r="K73" s="24"/>
      <c r="L73" s="165" t="s">
        <v>116</v>
      </c>
      <c r="M73" s="194">
        <v>2.4201477744085098</v>
      </c>
      <c r="N73" s="194">
        <v>1.2290049172656525</v>
      </c>
      <c r="O73" s="194">
        <v>0.84499999999999997</v>
      </c>
      <c r="P73" s="148">
        <f t="shared" si="50"/>
        <v>1.1911428571428573</v>
      </c>
      <c r="Q73" s="149">
        <f>IFERROR(((M73-N73*POWER(O73,AD35)-(P73))),0)</f>
        <v>0.80603506422340088</v>
      </c>
      <c r="R73" s="149">
        <f t="shared" si="51"/>
        <v>806.03506422340092</v>
      </c>
      <c r="S73" s="150">
        <f t="shared" ref="S73:S75" si="52">R73*$N$35*$M$35</f>
        <v>483621.03853404056</v>
      </c>
      <c r="T73" s="151"/>
      <c r="U73" s="151"/>
      <c r="V73" s="151"/>
      <c r="W73" s="161"/>
      <c r="X73" s="162"/>
      <c r="AJ73" s="24"/>
      <c r="AK73" s="24"/>
    </row>
    <row r="74" spans="1:37" ht="18" customHeight="1" x14ac:dyDescent="0.35">
      <c r="A74" s="38"/>
      <c r="B74" s="79"/>
      <c r="C74" s="79"/>
      <c r="D74" s="79"/>
      <c r="E74" s="79"/>
      <c r="F74" s="79"/>
      <c r="G74" s="78"/>
      <c r="H74" s="38"/>
      <c r="I74" s="38"/>
      <c r="J74" s="38"/>
      <c r="K74" s="38"/>
      <c r="L74" s="165" t="s">
        <v>119</v>
      </c>
      <c r="M74"/>
      <c r="N74"/>
      <c r="O74"/>
      <c r="P74" s="61">
        <f t="shared" si="50"/>
        <v>0</v>
      </c>
      <c r="Q74" s="98">
        <f>IFERROR(((M74-N74*POWER(O74,AE35)-(P74))),0)</f>
        <v>0</v>
      </c>
      <c r="R74" s="98">
        <f t="shared" si="51"/>
        <v>0</v>
      </c>
      <c r="S74" s="150">
        <f t="shared" si="52"/>
        <v>0</v>
      </c>
      <c r="T74" s="61"/>
      <c r="U74" s="61"/>
      <c r="V74" s="61"/>
      <c r="W74" s="103"/>
      <c r="X74" s="147"/>
      <c r="AJ74" s="38"/>
      <c r="AK74" s="38"/>
    </row>
    <row r="75" spans="1:37" ht="15.75" customHeight="1" x14ac:dyDescent="0.3">
      <c r="A75" s="38"/>
      <c r="B75" s="225" t="s">
        <v>96</v>
      </c>
      <c r="C75" s="225"/>
      <c r="D75" s="225"/>
      <c r="E75" s="225"/>
      <c r="F75" s="225"/>
      <c r="G75" s="225"/>
      <c r="H75" s="225"/>
      <c r="I75" s="225"/>
      <c r="J75" s="38"/>
      <c r="K75" s="38"/>
      <c r="L75" s="165" t="s">
        <v>130</v>
      </c>
      <c r="M75" s="195">
        <v>0</v>
      </c>
      <c r="N75" s="115">
        <v>0</v>
      </c>
      <c r="O75" s="115">
        <v>0</v>
      </c>
      <c r="P75" s="61">
        <f>M75-N75</f>
        <v>0</v>
      </c>
      <c r="Q75" s="98">
        <f>IFERROR((M75-N75*POWER(O75,AF35)-(P75)),0)</f>
        <v>0</v>
      </c>
      <c r="R75" s="98">
        <f>Q75*1000</f>
        <v>0</v>
      </c>
      <c r="S75" s="150">
        <f t="shared" si="52"/>
        <v>0</v>
      </c>
      <c r="T75" s="116"/>
      <c r="U75" s="116"/>
      <c r="V75" s="116"/>
      <c r="W75" s="103"/>
      <c r="X75" s="147"/>
      <c r="AJ75" s="38"/>
      <c r="AK75" s="38"/>
    </row>
    <row r="76" spans="1:37" ht="18.75" customHeight="1" x14ac:dyDescent="0.3">
      <c r="A76" s="38"/>
      <c r="B76" s="38"/>
      <c r="C76" s="38"/>
      <c r="D76" s="16"/>
      <c r="E76" s="16"/>
      <c r="F76" s="16"/>
      <c r="G76" s="38"/>
      <c r="H76" s="38"/>
      <c r="I76" s="38"/>
      <c r="J76" s="38"/>
      <c r="K76" s="38"/>
      <c r="L76" s="60" t="s">
        <v>125</v>
      </c>
      <c r="M76" s="194">
        <v>1.0837376355004051</v>
      </c>
      <c r="N76" s="194">
        <v>0.28023763550040515</v>
      </c>
      <c r="O76" s="194">
        <v>0.96699999999999997</v>
      </c>
      <c r="P76" s="153">
        <f>M76-N76</f>
        <v>0.80349999999999999</v>
      </c>
      <c r="Q76" s="154">
        <f>IFERROR((M76-N76*POWER(O76,AC36)-(P76)),0)</f>
        <v>0</v>
      </c>
      <c r="R76" s="154">
        <f>Q76*1000</f>
        <v>0</v>
      </c>
      <c r="S76" s="155">
        <f>R76*$N$36*$M$36</f>
        <v>0</v>
      </c>
      <c r="T76" s="156">
        <f>S76+S77+S78+S79</f>
        <v>0</v>
      </c>
      <c r="U76" s="156">
        <f>T50</f>
        <v>0</v>
      </c>
      <c r="V76" s="156">
        <f>T76-U76</f>
        <v>0</v>
      </c>
      <c r="W76" s="157">
        <f>R76+R77+R78+R79</f>
        <v>0</v>
      </c>
      <c r="X76" s="158">
        <f>IF(OR(M36=0,M36=1),$V$76,IF(M36&lt;1,$V$76/M36,IF(M36&gt;1,$V$76/M36,0)))</f>
        <v>0</v>
      </c>
      <c r="AJ76" s="38"/>
      <c r="AK76" s="38"/>
    </row>
    <row r="77" spans="1:37" ht="16.5" customHeight="1" x14ac:dyDescent="0.3">
      <c r="A77" s="38"/>
      <c r="B77" s="10"/>
      <c r="C77" s="10"/>
      <c r="D77" s="10"/>
      <c r="E77" s="10"/>
      <c r="F77" s="10"/>
      <c r="G77" s="10"/>
      <c r="H77" s="38"/>
      <c r="I77" s="38"/>
      <c r="J77" s="38"/>
      <c r="K77" s="38"/>
      <c r="L77" s="60" t="s">
        <v>126</v>
      </c>
      <c r="M77" s="194">
        <v>1.2744531891520501</v>
      </c>
      <c r="N77" s="194">
        <v>0.29645318915204999</v>
      </c>
      <c r="O77" s="194">
        <v>0.88600000000000001</v>
      </c>
      <c r="P77" s="106">
        <f t="shared" ref="P77" si="53">M77-N77</f>
        <v>0.97800000000000009</v>
      </c>
      <c r="Q77" s="159">
        <f>IFERROR(((M77-N77*POWER(O77,AD36)-(P77))),0)</f>
        <v>0</v>
      </c>
      <c r="R77" s="159">
        <f t="shared" ref="R77:R79" si="54">Q77*1000</f>
        <v>0</v>
      </c>
      <c r="S77" s="155">
        <f t="shared" ref="S77:S79" si="55">R77*$N$36*$M$36</f>
        <v>0</v>
      </c>
      <c r="T77" s="106"/>
      <c r="U77" s="152"/>
      <c r="V77" s="152"/>
      <c r="W77" s="160"/>
      <c r="X77" s="106"/>
      <c r="AJ77" s="38"/>
      <c r="AK77" s="38"/>
    </row>
    <row r="78" spans="1:37" ht="21" customHeight="1" x14ac:dyDescent="0.3">
      <c r="A78" s="38"/>
      <c r="B78" s="16"/>
      <c r="C78" s="10"/>
      <c r="D78" s="10"/>
      <c r="E78" s="10"/>
      <c r="F78" s="10"/>
      <c r="G78" s="10"/>
      <c r="H78" s="38"/>
      <c r="I78" s="38"/>
      <c r="J78" s="38"/>
      <c r="K78" s="38"/>
      <c r="L78" s="60" t="s">
        <v>127</v>
      </c>
      <c r="M78" s="194">
        <v>0</v>
      </c>
      <c r="N78" s="194">
        <v>0</v>
      </c>
      <c r="O78" s="194">
        <v>0</v>
      </c>
      <c r="P78" s="106">
        <f>M78-N78</f>
        <v>0</v>
      </c>
      <c r="Q78" s="106">
        <f>IFERROR(((M78-N78*POWER(O78,AE36)-(P78))),0)</f>
        <v>0</v>
      </c>
      <c r="R78" s="159">
        <f t="shared" si="54"/>
        <v>0</v>
      </c>
      <c r="S78" s="155">
        <f t="shared" si="55"/>
        <v>0</v>
      </c>
      <c r="T78" s="106"/>
      <c r="U78" s="160"/>
      <c r="V78" s="160"/>
      <c r="W78" s="159"/>
      <c r="X78" s="106"/>
      <c r="AJ78" s="38"/>
      <c r="AK78" s="38"/>
    </row>
    <row r="79" spans="1:37" ht="21.75" customHeight="1" x14ac:dyDescent="0.3">
      <c r="L79" s="60" t="s">
        <v>128</v>
      </c>
      <c r="M79" s="196">
        <v>0</v>
      </c>
      <c r="N79" s="167">
        <v>0</v>
      </c>
      <c r="O79" s="167">
        <v>0</v>
      </c>
      <c r="P79" s="106">
        <f>M79-N79</f>
        <v>0</v>
      </c>
      <c r="Q79" s="106">
        <f>IFERROR((M79-N79*POWER(O79,AF36)-(P79)),0)</f>
        <v>0</v>
      </c>
      <c r="R79" s="159">
        <f t="shared" si="54"/>
        <v>0</v>
      </c>
      <c r="S79" s="155">
        <f t="shared" si="55"/>
        <v>0</v>
      </c>
      <c r="T79" s="106"/>
      <c r="U79" s="106"/>
      <c r="V79" s="106"/>
      <c r="W79" s="106"/>
      <c r="X79" s="106"/>
    </row>
    <row r="80" spans="1:37" x14ac:dyDescent="0.3">
      <c r="L80" s="60" t="s">
        <v>117</v>
      </c>
      <c r="M80" s="194">
        <v>0.93854437098954524</v>
      </c>
      <c r="N80" s="194">
        <v>7.2044370989545192E-2</v>
      </c>
      <c r="O80" s="194">
        <v>0.92300000000000004</v>
      </c>
      <c r="P80" s="106">
        <f>M80-N80</f>
        <v>0.86650000000000005</v>
      </c>
      <c r="Q80" s="106">
        <f>IFERROR((M80-N80*POWER(O80,AC37)-(P80)),0)</f>
        <v>0</v>
      </c>
      <c r="R80" s="159">
        <f t="shared" ref="R80:R82" si="56">Q80*1000</f>
        <v>0</v>
      </c>
      <c r="S80" s="106">
        <f>R80*$N$37*$M$37</f>
        <v>0</v>
      </c>
      <c r="T80" s="106">
        <f>S80+S81+S82+S83</f>
        <v>90901.549650204804</v>
      </c>
      <c r="U80" s="160">
        <f>T51</f>
        <v>7924.7811149786849</v>
      </c>
      <c r="V80" s="106">
        <f>T80-U80</f>
        <v>82976.768535226118</v>
      </c>
      <c r="W80" s="159">
        <f>R80+R81+R82+R83</f>
        <v>121.20206620027307</v>
      </c>
      <c r="X80" s="106">
        <f>IF(OR(M37=0,M37=1),$V$80,IF(M37&lt;1,$V$80/M37,IF(M37&gt;1,$V$80/M37,0)))</f>
        <v>165953.53707045224</v>
      </c>
    </row>
    <row r="81" spans="9:24" x14ac:dyDescent="0.3">
      <c r="L81" s="60" t="s">
        <v>118</v>
      </c>
      <c r="M81" s="194">
        <v>0.99971550693419775</v>
      </c>
      <c r="N81" s="194">
        <v>0.1827155069341978</v>
      </c>
      <c r="O81" s="194">
        <v>0.84399999999999997</v>
      </c>
      <c r="P81" s="152">
        <f t="shared" ref="P81" si="57">M81-N81</f>
        <v>0.81699999999999995</v>
      </c>
      <c r="Q81" s="152">
        <f>IFERROR(((M81-N81*POWER(O81,AD37)-(P81))),0)</f>
        <v>0</v>
      </c>
      <c r="R81" s="152">
        <f t="shared" si="56"/>
        <v>0</v>
      </c>
      <c r="S81" s="106">
        <f t="shared" ref="S81:S83" si="58">R81*$N$37*$M$37</f>
        <v>0</v>
      </c>
      <c r="T81" s="152"/>
      <c r="U81" s="152"/>
      <c r="V81" s="152"/>
      <c r="W81" s="152"/>
      <c r="X81" s="152"/>
    </row>
    <row r="82" spans="9:24" x14ac:dyDescent="0.3">
      <c r="L82" s="166" t="s">
        <v>120</v>
      </c>
      <c r="M82" s="194">
        <v>2.2830115326381923</v>
      </c>
      <c r="N82" s="194">
        <v>0.20701153263819227</v>
      </c>
      <c r="O82" s="194">
        <v>0.8</v>
      </c>
      <c r="P82" s="106">
        <f>M82-N82</f>
        <v>2.0760000000000001</v>
      </c>
      <c r="Q82" s="106">
        <f>IFERROR(((M82-N82*POWER(O82,AE37)-(P82))),0)</f>
        <v>0.12120206620027307</v>
      </c>
      <c r="R82" s="159">
        <f t="shared" si="56"/>
        <v>121.20206620027307</v>
      </c>
      <c r="S82" s="106">
        <f t="shared" si="58"/>
        <v>90901.549650204804</v>
      </c>
      <c r="T82" s="163"/>
      <c r="U82" s="163"/>
      <c r="V82" s="163"/>
      <c r="W82" s="160"/>
      <c r="X82" s="160"/>
    </row>
    <row r="83" spans="9:24" ht="15.5" x14ac:dyDescent="0.3">
      <c r="L83" s="166" t="s">
        <v>121</v>
      </c>
      <c r="M83" s="197">
        <v>0</v>
      </c>
      <c r="N83" s="168">
        <v>0</v>
      </c>
      <c r="O83" s="168">
        <v>0</v>
      </c>
      <c r="P83" s="106">
        <f>M83-N83</f>
        <v>0</v>
      </c>
      <c r="Q83" s="152">
        <f>IFERROR(((M83-N83*POWER(O83,AF37)-(P83))),0)</f>
        <v>0</v>
      </c>
      <c r="R83" s="159">
        <f>Q83*1000</f>
        <v>0</v>
      </c>
      <c r="S83" s="106">
        <f t="shared" si="58"/>
        <v>0</v>
      </c>
      <c r="T83" s="163"/>
      <c r="U83" s="163"/>
      <c r="V83" s="163"/>
      <c r="W83" s="160"/>
      <c r="X83" s="160"/>
    </row>
    <row r="84" spans="9:24" x14ac:dyDescent="0.3">
      <c r="L84" s="169" t="s">
        <v>142</v>
      </c>
      <c r="M84" s="194">
        <v>3.1423489425531348</v>
      </c>
      <c r="N84" s="194">
        <v>1.7063489425531346</v>
      </c>
      <c r="O84" s="194">
        <v>0.97399999999999998</v>
      </c>
      <c r="P84" s="106">
        <f>M84-N84</f>
        <v>1.4360000000000002</v>
      </c>
      <c r="Q84" s="152">
        <f>IFERROR(((M84-N84*POWER(O84,AC38)-(P84))),0)</f>
        <v>0.91939474095565443</v>
      </c>
      <c r="R84" s="159">
        <f>Q84*1000</f>
        <v>919.39474095565447</v>
      </c>
      <c r="S84" s="106">
        <f>R84*$N$38*$M$38</f>
        <v>827455.26686008903</v>
      </c>
      <c r="T84" s="163">
        <f>S84+S85+S86+S87</f>
        <v>956860.28991350019</v>
      </c>
      <c r="U84" s="163">
        <f>T52</f>
        <v>92562.674729689956</v>
      </c>
      <c r="V84" s="163">
        <f>T84-U84</f>
        <v>864297.61518381024</v>
      </c>
      <c r="W84" s="160">
        <f>R84+R85+R86+R87</f>
        <v>1063.1780999038892</v>
      </c>
      <c r="X84" s="160">
        <f>IF(OR(M38=0,M38=1),$V$84,IF(M38&lt;1,$V$84/M38,IF(M38&gt;1,$V$84/M38,0)))</f>
        <v>1728595.2303676205</v>
      </c>
    </row>
    <row r="85" spans="9:24" ht="14.5" x14ac:dyDescent="0.35">
      <c r="L85" s="169" t="s">
        <v>143</v>
      </c>
      <c r="M85">
        <v>2.6293875693344035</v>
      </c>
      <c r="N85">
        <v>0.39638756933440344</v>
      </c>
      <c r="O85">
        <v>0.88600000000000001</v>
      </c>
      <c r="P85" s="106">
        <f t="shared" ref="P85:P87" si="59">M85-N85</f>
        <v>2.2330000000000001</v>
      </c>
      <c r="Q85" s="152">
        <f>IFERROR(((M85-N85*POWER(O85,AD38)-(P85))),0)</f>
        <v>9.2288042356191369E-2</v>
      </c>
      <c r="R85" s="159">
        <f t="shared" ref="R85:R87" si="60">Q85*1000</f>
        <v>92.288042356191369</v>
      </c>
      <c r="S85" s="106">
        <f t="shared" ref="S85:S87" si="61">R85*$N$38*$M$38</f>
        <v>83059.238120572234</v>
      </c>
      <c r="T85" s="152"/>
      <c r="U85" s="152"/>
      <c r="V85" s="152"/>
      <c r="W85" s="152"/>
      <c r="X85" s="152"/>
    </row>
    <row r="86" spans="9:24" x14ac:dyDescent="0.3">
      <c r="L86" s="169" t="s">
        <v>144</v>
      </c>
      <c r="M86" s="194">
        <v>3.4523048581079512</v>
      </c>
      <c r="N86" s="194">
        <v>0.25905485810795126</v>
      </c>
      <c r="O86" s="194">
        <v>0.92600000000000005</v>
      </c>
      <c r="P86" s="106">
        <f>M86-N86</f>
        <v>3.1932499999999999</v>
      </c>
      <c r="Q86" s="152">
        <f>IFERROR(((M86-N86*POWER(O86,AE38)-(P86))),0)</f>
        <v>5.1495316592043316E-2</v>
      </c>
      <c r="R86" s="159">
        <f t="shared" si="60"/>
        <v>51.495316592043316</v>
      </c>
      <c r="S86" s="106">
        <f t="shared" si="61"/>
        <v>46345.784932838986</v>
      </c>
      <c r="T86" s="152"/>
      <c r="U86" s="152"/>
      <c r="V86" s="152"/>
      <c r="W86" s="164"/>
      <c r="X86" s="152"/>
    </row>
    <row r="87" spans="9:24" x14ac:dyDescent="0.3">
      <c r="L87" s="169" t="s">
        <v>145</v>
      </c>
      <c r="M87" s="198">
        <v>0</v>
      </c>
      <c r="N87" s="114">
        <v>0</v>
      </c>
      <c r="O87" s="114">
        <v>0</v>
      </c>
      <c r="P87" s="61">
        <f t="shared" si="59"/>
        <v>0</v>
      </c>
      <c r="Q87" s="152">
        <f>IFERROR(((M87-N87*POWER(O87,AF38)-(P87))),0)</f>
        <v>0</v>
      </c>
      <c r="R87" s="98">
        <f t="shared" si="60"/>
        <v>0</v>
      </c>
      <c r="S87" s="106">
        <f t="shared" si="61"/>
        <v>0</v>
      </c>
      <c r="T87" s="61"/>
      <c r="U87" s="61"/>
      <c r="V87" s="61"/>
      <c r="W87" s="60"/>
      <c r="X87" s="60"/>
    </row>
    <row r="88" spans="9:24" x14ac:dyDescent="0.3">
      <c r="I88" s="39" t="s">
        <v>85</v>
      </c>
      <c r="L88" s="60"/>
      <c r="M88" s="199"/>
      <c r="N88" s="60"/>
      <c r="O88" s="60"/>
      <c r="P88" s="60"/>
      <c r="Q88" s="60"/>
      <c r="R88" s="60"/>
      <c r="S88" s="61"/>
      <c r="T88" s="61"/>
      <c r="U88" s="61"/>
      <c r="V88" s="61"/>
      <c r="W88" s="60"/>
      <c r="X88" s="60"/>
    </row>
    <row r="89" spans="9:24" x14ac:dyDescent="0.3">
      <c r="T89" s="55"/>
      <c r="U89" s="55"/>
      <c r="V89" s="55"/>
    </row>
    <row r="96" spans="9:24" x14ac:dyDescent="0.3">
      <c r="T96" s="61" t="s">
        <v>52</v>
      </c>
      <c r="U96" s="61"/>
      <c r="V96" s="61"/>
    </row>
    <row r="97" spans="20:22" x14ac:dyDescent="0.3">
      <c r="T97" s="61" t="s">
        <v>53</v>
      </c>
      <c r="U97" s="61" t="s">
        <v>54</v>
      </c>
      <c r="V97" s="61" t="s">
        <v>55</v>
      </c>
    </row>
    <row r="98" spans="20:22" x14ac:dyDescent="0.3">
      <c r="T98" s="116">
        <f>SUM(T60:T87)</f>
        <v>11522267.57317555</v>
      </c>
      <c r="U98" s="116">
        <f>SUM(U60:U87)</f>
        <v>499999.99999999994</v>
      </c>
      <c r="V98" s="116">
        <f>SUM(V60:V87)</f>
        <v>11022267.57317555</v>
      </c>
    </row>
  </sheetData>
  <sheetProtection password="C75C" sheet="1" objects="1" scenarios="1"/>
  <mergeCells count="28">
    <mergeCell ref="Y16:AB16"/>
    <mergeCell ref="T30:AB30"/>
    <mergeCell ref="AC30:AF30"/>
    <mergeCell ref="B75:I75"/>
    <mergeCell ref="S58:V58"/>
    <mergeCell ref="W58:X58"/>
    <mergeCell ref="L58:R58"/>
    <mergeCell ref="B73:I73"/>
    <mergeCell ref="B71:I71"/>
    <mergeCell ref="B61:D61"/>
    <mergeCell ref="B69:I69"/>
    <mergeCell ref="C62:D62"/>
    <mergeCell ref="O30:S30"/>
    <mergeCell ref="L30:N30"/>
    <mergeCell ref="C10:D10"/>
    <mergeCell ref="C12:D12"/>
    <mergeCell ref="C11:D11"/>
    <mergeCell ref="B24:G24"/>
    <mergeCell ref="W50:X50"/>
    <mergeCell ref="N44:U44"/>
    <mergeCell ref="B14:D14"/>
    <mergeCell ref="B33:C33"/>
    <mergeCell ref="B35:C35"/>
    <mergeCell ref="B41:G41"/>
    <mergeCell ref="U46:U52"/>
    <mergeCell ref="B52:D52"/>
    <mergeCell ref="C42:G42"/>
    <mergeCell ref="N16:X16"/>
  </mergeCells>
  <pageMargins left="0.7" right="0.7" top="0.75" bottom="0.75" header="0.3" footer="0.3"/>
  <pageSetup scale="1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Optimize_Solver">
                <anchor moveWithCells="1" sizeWithCells="1">
                  <from>
                    <xdr:col>1</xdr:col>
                    <xdr:colOff>76200</xdr:colOff>
                    <xdr:row>36</xdr:row>
                    <xdr:rowOff>88900</xdr:rowOff>
                  </from>
                  <to>
                    <xdr:col>1</xdr:col>
                    <xdr:colOff>1657350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Button 8">
              <controlPr defaultSize="0" print="0" autoFill="0" autoPict="0" macro="[0]!Reset_Form">
                <anchor moveWithCells="1" sizeWithCells="1">
                  <from>
                    <xdr:col>2</xdr:col>
                    <xdr:colOff>431800</xdr:colOff>
                    <xdr:row>36</xdr:row>
                    <xdr:rowOff>76200</xdr:rowOff>
                  </from>
                  <to>
                    <xdr:col>3</xdr:col>
                    <xdr:colOff>755650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Button 10">
              <controlPr defaultSize="0" print="0" autoFill="0" autoPict="0" macro="[0]!Help">
                <anchor moveWithCells="1" sizeWithCells="1">
                  <from>
                    <xdr:col>1</xdr:col>
                    <xdr:colOff>266700</xdr:colOff>
                    <xdr:row>4</xdr:row>
                    <xdr:rowOff>0</xdr:rowOff>
                  </from>
                  <to>
                    <xdr:col>1</xdr:col>
                    <xdr:colOff>1765300</xdr:colOff>
                    <xdr:row>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Button 15">
              <controlPr defaultSize="0" print="0" autoFill="0" autoPict="0" macro="[0]!Print_Output">
                <anchor moveWithCells="1" sizeWithCells="1">
                  <from>
                    <xdr:col>1</xdr:col>
                    <xdr:colOff>76200</xdr:colOff>
                    <xdr:row>64</xdr:row>
                    <xdr:rowOff>95250</xdr:rowOff>
                  </from>
                  <to>
                    <xdr:col>1</xdr:col>
                    <xdr:colOff>1657350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Button 16">
              <controlPr defaultSize="0" print="0" autoFill="0" autoPict="0" macro="[0]!Hide_Protect">
                <anchor moveWithCells="1" sizeWithCells="1">
                  <from>
                    <xdr:col>11</xdr:col>
                    <xdr:colOff>76200</xdr:colOff>
                    <xdr:row>2</xdr:row>
                    <xdr:rowOff>95250</xdr:rowOff>
                  </from>
                  <to>
                    <xdr:col>11</xdr:col>
                    <xdr:colOff>1657350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06E43CE199CA4E83A38C4C763FD4F5" ma:contentTypeVersion="21" ma:contentTypeDescription="Create a new document." ma:contentTypeScope="" ma:versionID="42cdcb359da16d98fd63cedc49cea169">
  <xsd:schema xmlns:xsd="http://www.w3.org/2001/XMLSchema" xmlns:xs="http://www.w3.org/2001/XMLSchema" xmlns:p="http://schemas.microsoft.com/office/2006/metadata/properties" xmlns:ns2="cfcaa660-3182-4f27-8fa7-16736e9283fd" xmlns:ns3="6a2a5ef5-46a6-42c7-b9b9-d957781a302b" targetNamespace="http://schemas.microsoft.com/office/2006/metadata/properties" ma:root="true" ma:fieldsID="7db9a6aa8fcce63508b8758ce3094111" ns2:_="" ns3:_="">
    <xsd:import namespace="cfcaa660-3182-4f27-8fa7-16736e9283fd"/>
    <xsd:import namespace="6a2a5ef5-46a6-42c7-b9b9-d957781a30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aa660-3182-4f27-8fa7-16736e9283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9e8d040-3cf8-41ce-a03b-17301c6837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2a5ef5-46a6-42c7-b9b9-d957781a302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d5f4c7dd-037c-4b5f-8a18-556f4eb4aa42}" ma:internalName="TaxCatchAll" ma:showField="CatchAllData" ma:web="6a2a5ef5-46a6-42c7-b9b9-d957781a30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caa660-3182-4f27-8fa7-16736e9283fd">
      <Terms xmlns="http://schemas.microsoft.com/office/infopath/2007/PartnerControls"/>
    </lcf76f155ced4ddcb4097134ff3c332f>
    <TaxCatchAll xmlns="6a2a5ef5-46a6-42c7-b9b9-d957781a302b" xsi:nil="true"/>
  </documentManagement>
</p:properties>
</file>

<file path=customXml/itemProps1.xml><?xml version="1.0" encoding="utf-8"?>
<ds:datastoreItem xmlns:ds="http://schemas.openxmlformats.org/officeDocument/2006/customXml" ds:itemID="{3D39F09D-D523-4123-AA08-1844C91814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E768BB7-E917-4669-A304-8887AB404D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caa660-3182-4f27-8fa7-16736e9283fd"/>
    <ds:schemaRef ds:uri="6a2a5ef5-46a6-42c7-b9b9-d957781a30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B9B6E1-E984-4625-90DE-E931E491EBF6}">
  <ds:schemaRefs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6a2a5ef5-46a6-42c7-b9b9-d957781a302b"/>
    <ds:schemaRef ds:uri="cfcaa660-3182-4f27-8fa7-16736e9283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Help and Instructions</vt:lpstr>
      <vt:lpstr>Fertilizer Optimization</vt:lpstr>
      <vt:lpstr>Output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mstockton2</dc:creator>
  <cp:lastModifiedBy>Madeline Smith</cp:lastModifiedBy>
  <cp:lastPrinted>2013-06-19T13:17:20Z</cp:lastPrinted>
  <dcterms:created xsi:type="dcterms:W3CDTF">2011-08-08T15:04:31Z</dcterms:created>
  <dcterms:modified xsi:type="dcterms:W3CDTF">2026-01-06T21:28:56Z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0x0101008E06E43CE199CA4E83A38C4C763FD4F5</vt:lpwstr>
  </property>
</Properties>
</file>